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D:\Daten\Web Kollegen\2021 Doku Website\"/>
    </mc:Choice>
  </mc:AlternateContent>
  <xr:revisionPtr revIDLastSave="0" documentId="8_{19586157-5485-4346-9E2B-4C081129E22B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Grundlagen der Berechnung" sheetId="1" r:id="rId1"/>
    <sheet name="Lohnkosten bis 28.2." sheetId="6" r:id="rId2"/>
    <sheet name="Lohnkosten ab 1.3." sheetId="2" r:id="rId3"/>
    <sheet name="Lohnkosten Ø " sheetId="5" r:id="rId4"/>
    <sheet name="Bruttolöhne" sheetId="3" r:id="rId5"/>
    <sheet name="Studenlöhne 2023 - 2024" sheetId="4" r:id="rId6"/>
  </sheets>
  <externalReferences>
    <externalReference r:id="rId7"/>
  </externalReferences>
  <calcPr calcId="191029"/>
  <customWorkbookViews>
    <customWorkbookView name="Stefan Eisele - Persönliche Ansicht" guid="{8DF5D7FA-E457-40BC-86A9-0D5010326E28}" mergeInterval="0" personalView="1" maximized="1" xWindow="-8" yWindow="-8" windowWidth="1616" windowHeight="876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5" l="1"/>
  <c r="G4" i="5"/>
  <c r="F4" i="5"/>
  <c r="E4" i="5"/>
  <c r="E5" i="5" s="1"/>
  <c r="E7" i="5" s="1"/>
  <c r="D4" i="5"/>
  <c r="D5" i="5" s="1"/>
  <c r="D7" i="5" s="1"/>
  <c r="C4" i="5"/>
  <c r="C5" i="5" s="1"/>
  <c r="C7" i="5" s="1"/>
  <c r="B4" i="5"/>
  <c r="H39" i="5"/>
  <c r="H29" i="5"/>
  <c r="G29" i="5"/>
  <c r="G28" i="5" s="1"/>
  <c r="F29" i="5"/>
  <c r="F28" i="5" s="1"/>
  <c r="H11" i="5" s="1"/>
  <c r="E29" i="5"/>
  <c r="D29" i="5"/>
  <c r="D28" i="5" s="1"/>
  <c r="C29" i="5"/>
  <c r="C28" i="5" s="1"/>
  <c r="B29" i="5"/>
  <c r="B28" i="5" s="1"/>
  <c r="H28" i="5"/>
  <c r="E28" i="5"/>
  <c r="H23" i="5"/>
  <c r="G23" i="5"/>
  <c r="F23" i="5"/>
  <c r="E23" i="5"/>
  <c r="D23" i="5"/>
  <c r="C23" i="5"/>
  <c r="B23" i="5"/>
  <c r="G11" i="5"/>
  <c r="F11" i="5"/>
  <c r="E11" i="5"/>
  <c r="D11" i="5"/>
  <c r="C11" i="5"/>
  <c r="B11" i="5"/>
  <c r="H10" i="5"/>
  <c r="G10" i="5"/>
  <c r="F10" i="5"/>
  <c r="E10" i="5"/>
  <c r="D10" i="5"/>
  <c r="C10" i="5"/>
  <c r="B10" i="5"/>
  <c r="H9" i="5"/>
  <c r="G9" i="5"/>
  <c r="F9" i="5"/>
  <c r="E9" i="5"/>
  <c r="D9" i="5"/>
  <c r="C9" i="5"/>
  <c r="B9" i="5"/>
  <c r="H8" i="5"/>
  <c r="G8" i="5"/>
  <c r="F8" i="5"/>
  <c r="E8" i="5"/>
  <c r="D8" i="5"/>
  <c r="C8" i="5"/>
  <c r="B8" i="5"/>
  <c r="H6" i="5"/>
  <c r="E6" i="5"/>
  <c r="D6" i="5"/>
  <c r="H5" i="5"/>
  <c r="H7" i="5" s="1"/>
  <c r="G5" i="5"/>
  <c r="G7" i="5" s="1"/>
  <c r="G6" i="5"/>
  <c r="C6" i="5"/>
  <c r="H4" i="2"/>
  <c r="H6" i="2" s="1"/>
  <c r="G4" i="2"/>
  <c r="G6" i="2" s="1"/>
  <c r="F4" i="2"/>
  <c r="E4" i="2"/>
  <c r="E5" i="2" s="1"/>
  <c r="E7" i="2" s="1"/>
  <c r="D4" i="2"/>
  <c r="C4" i="2"/>
  <c r="C5" i="2" s="1"/>
  <c r="C7" i="2" s="1"/>
  <c r="B4" i="2"/>
  <c r="H39" i="2"/>
  <c r="H29" i="2"/>
  <c r="H28" i="2" s="1"/>
  <c r="G29" i="2"/>
  <c r="G28" i="2" s="1"/>
  <c r="F29" i="2"/>
  <c r="F28" i="2" s="1"/>
  <c r="H11" i="2" s="1"/>
  <c r="E29" i="2"/>
  <c r="D29" i="2"/>
  <c r="C29" i="2"/>
  <c r="C28" i="2" s="1"/>
  <c r="B29" i="2"/>
  <c r="B28" i="2" s="1"/>
  <c r="E28" i="2"/>
  <c r="D28" i="2"/>
  <c r="H23" i="2"/>
  <c r="G23" i="2"/>
  <c r="F23" i="2"/>
  <c r="E23" i="2"/>
  <c r="D23" i="2"/>
  <c r="C23" i="2"/>
  <c r="B23" i="2"/>
  <c r="G11" i="2"/>
  <c r="F11" i="2"/>
  <c r="E11" i="2"/>
  <c r="D11" i="2"/>
  <c r="C11" i="2"/>
  <c r="B11" i="2"/>
  <c r="H10" i="2"/>
  <c r="G10" i="2"/>
  <c r="F10" i="2"/>
  <c r="E10" i="2"/>
  <c r="D10" i="2"/>
  <c r="C10" i="2"/>
  <c r="B10" i="2"/>
  <c r="H9" i="2"/>
  <c r="G9" i="2"/>
  <c r="F9" i="2"/>
  <c r="E9" i="2"/>
  <c r="D9" i="2"/>
  <c r="C9" i="2"/>
  <c r="B9" i="2"/>
  <c r="H8" i="2"/>
  <c r="G8" i="2"/>
  <c r="F8" i="2"/>
  <c r="E8" i="2"/>
  <c r="D8" i="2"/>
  <c r="C8" i="2"/>
  <c r="B8" i="2"/>
  <c r="E6" i="2"/>
  <c r="D6" i="2"/>
  <c r="D5" i="2"/>
  <c r="D7" i="2" s="1"/>
  <c r="F28" i="6"/>
  <c r="E28" i="6"/>
  <c r="D28" i="6"/>
  <c r="C28" i="6"/>
  <c r="H29" i="6"/>
  <c r="H28" i="6" s="1"/>
  <c r="G29" i="6"/>
  <c r="G28" i="6" s="1"/>
  <c r="F29" i="6"/>
  <c r="E29" i="6"/>
  <c r="D29" i="6"/>
  <c r="C29" i="6"/>
  <c r="B29" i="6"/>
  <c r="B28" i="6" s="1"/>
  <c r="G23" i="6"/>
  <c r="F23" i="6"/>
  <c r="E23" i="6"/>
  <c r="D23" i="6"/>
  <c r="C23" i="6"/>
  <c r="B23" i="6"/>
  <c r="G11" i="6"/>
  <c r="F11" i="6"/>
  <c r="E11" i="6"/>
  <c r="D11" i="6"/>
  <c r="C11" i="6"/>
  <c r="B11" i="6"/>
  <c r="G10" i="6"/>
  <c r="F10" i="6"/>
  <c r="E10" i="6"/>
  <c r="D10" i="6"/>
  <c r="C10" i="6"/>
  <c r="B10" i="6"/>
  <c r="G8" i="6"/>
  <c r="F8" i="6"/>
  <c r="E8" i="6"/>
  <c r="D8" i="6"/>
  <c r="C8" i="6"/>
  <c r="B8" i="6"/>
  <c r="G9" i="6"/>
  <c r="F9" i="6"/>
  <c r="E9" i="6"/>
  <c r="D9" i="6"/>
  <c r="C9" i="6"/>
  <c r="B9" i="6"/>
  <c r="C12" i="5" l="1"/>
  <c r="C17" i="5" s="1"/>
  <c r="G12" i="5"/>
  <c r="G13" i="5" s="1"/>
  <c r="G5" i="2"/>
  <c r="G7" i="2" s="1"/>
  <c r="H5" i="2"/>
  <c r="H7" i="2" s="1"/>
  <c r="C6" i="2"/>
  <c r="D12" i="5"/>
  <c r="D19" i="5" s="1"/>
  <c r="D15" i="5"/>
  <c r="D17" i="5"/>
  <c r="D20" i="5"/>
  <c r="D16" i="5"/>
  <c r="C18" i="5"/>
  <c r="C14" i="5"/>
  <c r="C16" i="5"/>
  <c r="C19" i="5"/>
  <c r="C15" i="5"/>
  <c r="C20" i="5"/>
  <c r="E12" i="5"/>
  <c r="G17" i="5"/>
  <c r="H12" i="5"/>
  <c r="D18" i="5"/>
  <c r="B5" i="5"/>
  <c r="B7" i="5" s="1"/>
  <c r="B6" i="5"/>
  <c r="F5" i="5"/>
  <c r="F7" i="5" s="1"/>
  <c r="F6" i="5"/>
  <c r="G18" i="5"/>
  <c r="G14" i="5"/>
  <c r="G20" i="5"/>
  <c r="G19" i="5"/>
  <c r="G15" i="5"/>
  <c r="G16" i="5"/>
  <c r="G12" i="2"/>
  <c r="G17" i="2" s="1"/>
  <c r="D12" i="2"/>
  <c r="D15" i="2" s="1"/>
  <c r="B5" i="2"/>
  <c r="B7" i="2" s="1"/>
  <c r="B6" i="2"/>
  <c r="F5" i="2"/>
  <c r="F7" i="2" s="1"/>
  <c r="F6" i="2"/>
  <c r="F12" i="2" s="1"/>
  <c r="E12" i="2"/>
  <c r="D19" i="2"/>
  <c r="D17" i="2"/>
  <c r="D16" i="2"/>
  <c r="D13" i="2"/>
  <c r="C12" i="2"/>
  <c r="G22" i="2"/>
  <c r="G18" i="2"/>
  <c r="G14" i="2"/>
  <c r="G19" i="2"/>
  <c r="G15" i="2"/>
  <c r="G20" i="2"/>
  <c r="G16" i="2"/>
  <c r="H12" i="2"/>
  <c r="G13" i="2"/>
  <c r="D18" i="2"/>
  <c r="D14" i="5" l="1"/>
  <c r="G22" i="5"/>
  <c r="C13" i="5"/>
  <c r="C21" i="5" s="1"/>
  <c r="C22" i="5"/>
  <c r="D22" i="5"/>
  <c r="D13" i="5"/>
  <c r="G21" i="5"/>
  <c r="G24" i="5" s="1"/>
  <c r="B12" i="5"/>
  <c r="B14" i="5" s="1"/>
  <c r="H19" i="5"/>
  <c r="H15" i="5"/>
  <c r="H13" i="5"/>
  <c r="H20" i="5"/>
  <c r="H16" i="5"/>
  <c r="H17" i="5"/>
  <c r="H18" i="5"/>
  <c r="H22" i="5"/>
  <c r="H14" i="5"/>
  <c r="B18" i="5"/>
  <c r="E20" i="5"/>
  <c r="E16" i="5"/>
  <c r="E22" i="5"/>
  <c r="E18" i="5"/>
  <c r="E17" i="5"/>
  <c r="E13" i="5"/>
  <c r="E14" i="5"/>
  <c r="E15" i="5"/>
  <c r="E19" i="5"/>
  <c r="C24" i="5"/>
  <c r="C30" i="5"/>
  <c r="C33" i="5" s="1"/>
  <c r="D21" i="5"/>
  <c r="F12" i="5"/>
  <c r="D22" i="2"/>
  <c r="D14" i="2"/>
  <c r="D20" i="2"/>
  <c r="D21" i="2" s="1"/>
  <c r="B12" i="2"/>
  <c r="B17" i="2" s="1"/>
  <c r="B13" i="2"/>
  <c r="B20" i="2"/>
  <c r="C22" i="2"/>
  <c r="C18" i="2"/>
  <c r="C14" i="2"/>
  <c r="C20" i="2"/>
  <c r="C16" i="2"/>
  <c r="C19" i="2"/>
  <c r="C15" i="2"/>
  <c r="C13" i="2"/>
  <c r="C17" i="2"/>
  <c r="F17" i="2"/>
  <c r="F13" i="2"/>
  <c r="F22" i="2"/>
  <c r="F18" i="2"/>
  <c r="F14" i="2"/>
  <c r="F19" i="2"/>
  <c r="F15" i="2"/>
  <c r="F20" i="2"/>
  <c r="F16" i="2"/>
  <c r="G21" i="2"/>
  <c r="E20" i="2"/>
  <c r="E16" i="2"/>
  <c r="E18" i="2"/>
  <c r="E17" i="2"/>
  <c r="E13" i="2"/>
  <c r="E22" i="2"/>
  <c r="E14" i="2"/>
  <c r="E15" i="2"/>
  <c r="E19" i="2"/>
  <c r="H19" i="2"/>
  <c r="H15" i="2"/>
  <c r="H13" i="2"/>
  <c r="H20" i="2"/>
  <c r="H16" i="2"/>
  <c r="H17" i="2"/>
  <c r="H22" i="2"/>
  <c r="H18" i="2"/>
  <c r="H14" i="2"/>
  <c r="B22" i="5" l="1"/>
  <c r="B15" i="5"/>
  <c r="B13" i="5"/>
  <c r="B17" i="5"/>
  <c r="B20" i="5"/>
  <c r="B19" i="5"/>
  <c r="G30" i="5"/>
  <c r="G33" i="5" s="1"/>
  <c r="B16" i="5"/>
  <c r="B21" i="5" s="1"/>
  <c r="B16" i="2"/>
  <c r="B14" i="2"/>
  <c r="B18" i="2"/>
  <c r="B22" i="2"/>
  <c r="B15" i="2"/>
  <c r="B19" i="2"/>
  <c r="D24" i="5"/>
  <c r="D30" i="5"/>
  <c r="D33" i="5" s="1"/>
  <c r="C26" i="5"/>
  <c r="C32" i="5" s="1"/>
  <c r="C34" i="5" s="1"/>
  <c r="C25" i="5"/>
  <c r="E21" i="5"/>
  <c r="F17" i="5"/>
  <c r="F13" i="5"/>
  <c r="F19" i="5"/>
  <c r="F22" i="5"/>
  <c r="F18" i="5"/>
  <c r="F14" i="5"/>
  <c r="F15" i="5"/>
  <c r="F16" i="5"/>
  <c r="F20" i="5"/>
  <c r="H21" i="5"/>
  <c r="G26" i="5"/>
  <c r="G32" i="5" s="1"/>
  <c r="G34" i="5" s="1"/>
  <c r="G25" i="5"/>
  <c r="H21" i="2"/>
  <c r="H24" i="2" s="1"/>
  <c r="F21" i="2"/>
  <c r="F30" i="2" s="1"/>
  <c r="F33" i="2" s="1"/>
  <c r="G24" i="2"/>
  <c r="G30" i="2"/>
  <c r="G33" i="2" s="1"/>
  <c r="D24" i="2"/>
  <c r="D30" i="2"/>
  <c r="D33" i="2" s="1"/>
  <c r="B21" i="2"/>
  <c r="F24" i="2"/>
  <c r="E21" i="2"/>
  <c r="C21" i="2"/>
  <c r="G18" i="4"/>
  <c r="D18" i="4"/>
  <c r="E18" i="4" s="1"/>
  <c r="G17" i="4"/>
  <c r="E17" i="4"/>
  <c r="D17" i="4"/>
  <c r="G16" i="4"/>
  <c r="E16" i="4"/>
  <c r="D16" i="4"/>
  <c r="G15" i="4"/>
  <c r="D15" i="4"/>
  <c r="E15" i="4" s="1"/>
  <c r="G14" i="4"/>
  <c r="D14" i="4"/>
  <c r="E14" i="4" s="1"/>
  <c r="G13" i="4"/>
  <c r="E13" i="4"/>
  <c r="D13" i="4"/>
  <c r="G9" i="4"/>
  <c r="E9" i="4"/>
  <c r="D9" i="4"/>
  <c r="G8" i="4"/>
  <c r="D8" i="4"/>
  <c r="E8" i="4" s="1"/>
  <c r="G7" i="4"/>
  <c r="D7" i="4"/>
  <c r="E7" i="4" s="1"/>
  <c r="G6" i="4"/>
  <c r="E6" i="4"/>
  <c r="D6" i="4"/>
  <c r="G5" i="4"/>
  <c r="E5" i="4"/>
  <c r="D5" i="4"/>
  <c r="G4" i="4"/>
  <c r="D4" i="4"/>
  <c r="E4" i="4" s="1"/>
  <c r="H30" i="2" l="1"/>
  <c r="H33" i="2" s="1"/>
  <c r="H30" i="5"/>
  <c r="H33" i="5" s="1"/>
  <c r="H24" i="5"/>
  <c r="B30" i="5"/>
  <c r="B33" i="5" s="1"/>
  <c r="B24" i="5"/>
  <c r="C37" i="5"/>
  <c r="C35" i="5"/>
  <c r="C38" i="5" s="1"/>
  <c r="F21" i="5"/>
  <c r="G35" i="5"/>
  <c r="G38" i="5" s="1"/>
  <c r="G37" i="5"/>
  <c r="E24" i="5"/>
  <c r="E30" i="5"/>
  <c r="E33" i="5" s="1"/>
  <c r="D25" i="5"/>
  <c r="D26" i="5"/>
  <c r="D32" i="5" s="1"/>
  <c r="D34" i="5" s="1"/>
  <c r="G26" i="2"/>
  <c r="G32" i="2" s="1"/>
  <c r="G34" i="2" s="1"/>
  <c r="G25" i="2"/>
  <c r="E24" i="2"/>
  <c r="E30" i="2"/>
  <c r="E33" i="2" s="1"/>
  <c r="C24" i="2"/>
  <c r="C30" i="2"/>
  <c r="C33" i="2" s="1"/>
  <c r="B30" i="2"/>
  <c r="B33" i="2" s="1"/>
  <c r="B24" i="2"/>
  <c r="F25" i="2"/>
  <c r="F26" i="2"/>
  <c r="F32" i="2" s="1"/>
  <c r="F34" i="2" s="1"/>
  <c r="D25" i="2"/>
  <c r="D26" i="2"/>
  <c r="D32" i="2" s="1"/>
  <c r="D34" i="2" s="1"/>
  <c r="H25" i="2"/>
  <c r="H26" i="2"/>
  <c r="H32" i="2" s="1"/>
  <c r="H34" i="2" s="1"/>
  <c r="AC10" i="3"/>
  <c r="AB10" i="3"/>
  <c r="AA10" i="3"/>
  <c r="F4" i="3"/>
  <c r="D10" i="3"/>
  <c r="G10" i="3" s="1"/>
  <c r="D9" i="3"/>
  <c r="G9" i="3" s="1"/>
  <c r="J9" i="3" s="1"/>
  <c r="D8" i="3"/>
  <c r="G8" i="3" s="1"/>
  <c r="J8" i="3" s="1"/>
  <c r="D7" i="3"/>
  <c r="G7" i="3" s="1"/>
  <c r="J7" i="3" s="1"/>
  <c r="D6" i="3"/>
  <c r="G6" i="3" s="1"/>
  <c r="J6" i="3" s="1"/>
  <c r="D5" i="3"/>
  <c r="G5" i="3" s="1"/>
  <c r="J5" i="3" s="1"/>
  <c r="D4" i="3"/>
  <c r="G4" i="3" s="1"/>
  <c r="J4" i="3" s="1"/>
  <c r="C10" i="3"/>
  <c r="F10" i="3" s="1"/>
  <c r="L10" i="3" s="1"/>
  <c r="C9" i="3"/>
  <c r="C8" i="3"/>
  <c r="F8" i="3" s="1"/>
  <c r="I8" i="3" s="1"/>
  <c r="C7" i="3"/>
  <c r="C6" i="3"/>
  <c r="F6" i="3" s="1"/>
  <c r="I6" i="3" s="1"/>
  <c r="C5" i="3"/>
  <c r="C4" i="3"/>
  <c r="B10" i="3"/>
  <c r="E10" i="3" s="1"/>
  <c r="B9" i="3"/>
  <c r="E9" i="3" s="1"/>
  <c r="B8" i="3"/>
  <c r="E8" i="3" s="1"/>
  <c r="B7" i="3"/>
  <c r="E7" i="3" s="1"/>
  <c r="B6" i="3"/>
  <c r="E6" i="3" s="1"/>
  <c r="B5" i="3"/>
  <c r="E5" i="3" s="1"/>
  <c r="B4" i="3"/>
  <c r="E4" i="3" s="1"/>
  <c r="H4" i="3" s="1"/>
  <c r="K4" i="3" s="1"/>
  <c r="H23" i="6"/>
  <c r="H4" i="6"/>
  <c r="G4" i="6"/>
  <c r="F4" i="6"/>
  <c r="E4" i="6"/>
  <c r="D4" i="6"/>
  <c r="C4" i="6"/>
  <c r="B4" i="6"/>
  <c r="H39" i="6"/>
  <c r="H11" i="6"/>
  <c r="H10" i="6"/>
  <c r="H9" i="6"/>
  <c r="H8" i="6"/>
  <c r="D19" i="1"/>
  <c r="D18" i="1"/>
  <c r="D17" i="1"/>
  <c r="C16" i="1"/>
  <c r="D13" i="1"/>
  <c r="D12" i="1"/>
  <c r="D11" i="1"/>
  <c r="D10" i="1"/>
  <c r="D9" i="1"/>
  <c r="D8" i="1"/>
  <c r="H7" i="1"/>
  <c r="B3" i="1" s="1"/>
  <c r="D7" i="1"/>
  <c r="D6" i="1"/>
  <c r="H5" i="1"/>
  <c r="D5" i="1"/>
  <c r="D4" i="1"/>
  <c r="D14" i="1" s="1"/>
  <c r="D3" i="1"/>
  <c r="E25" i="5" l="1"/>
  <c r="E26" i="5"/>
  <c r="E32" i="5" s="1"/>
  <c r="E34" i="5" s="1"/>
  <c r="F30" i="5"/>
  <c r="F33" i="5" s="1"/>
  <c r="F24" i="5"/>
  <c r="D37" i="5"/>
  <c r="D35" i="5"/>
  <c r="D38" i="5" s="1"/>
  <c r="D36" i="5"/>
  <c r="D39" i="5" s="1"/>
  <c r="H25" i="5"/>
  <c r="H26" i="5"/>
  <c r="H32" i="5" s="1"/>
  <c r="H34" i="5" s="1"/>
  <c r="B25" i="5"/>
  <c r="B26" i="5"/>
  <c r="B32" i="5" s="1"/>
  <c r="B34" i="5" s="1"/>
  <c r="G36" i="5"/>
  <c r="G39" i="5" s="1"/>
  <c r="C36" i="5"/>
  <c r="C39" i="5" s="1"/>
  <c r="D37" i="2"/>
  <c r="D35" i="2"/>
  <c r="D38" i="2" s="1"/>
  <c r="B25" i="2"/>
  <c r="B26" i="2"/>
  <c r="B32" i="2" s="1"/>
  <c r="B34" i="2" s="1"/>
  <c r="E25" i="2"/>
  <c r="E26" i="2"/>
  <c r="E32" i="2" s="1"/>
  <c r="E34" i="2" s="1"/>
  <c r="H37" i="2"/>
  <c r="H35" i="2"/>
  <c r="H38" i="2" s="1"/>
  <c r="F35" i="2"/>
  <c r="F38" i="2" s="1"/>
  <c r="F37" i="2"/>
  <c r="C26" i="2"/>
  <c r="C32" i="2" s="1"/>
  <c r="C34" i="2" s="1"/>
  <c r="C25" i="2"/>
  <c r="G35" i="2"/>
  <c r="G38" i="2" s="1"/>
  <c r="G37" i="2"/>
  <c r="C6" i="6"/>
  <c r="C12" i="6" s="1"/>
  <c r="C5" i="6"/>
  <c r="C7" i="6" s="1"/>
  <c r="G5" i="6"/>
  <c r="G7" i="6" s="1"/>
  <c r="G6" i="6"/>
  <c r="D6" i="6"/>
  <c r="D5" i="6"/>
  <c r="D7" i="6" s="1"/>
  <c r="H6" i="6"/>
  <c r="H5" i="6"/>
  <c r="H7" i="6" s="1"/>
  <c r="H12" i="6" s="1"/>
  <c r="E5" i="6"/>
  <c r="E6" i="6"/>
  <c r="B5" i="6"/>
  <c r="B7" i="6" s="1"/>
  <c r="B12" i="6" s="1"/>
  <c r="B6" i="6"/>
  <c r="F5" i="6"/>
  <c r="F6" i="6"/>
  <c r="AA4" i="3"/>
  <c r="AA5" i="3"/>
  <c r="AA7" i="3"/>
  <c r="AA6" i="3"/>
  <c r="AA8" i="3"/>
  <c r="AA9" i="3"/>
  <c r="AB4" i="3"/>
  <c r="AB5" i="3"/>
  <c r="AB6" i="3"/>
  <c r="AB7" i="3"/>
  <c r="AB8" i="3"/>
  <c r="AB9" i="3"/>
  <c r="AC4" i="3"/>
  <c r="AC5" i="3"/>
  <c r="AC6" i="3"/>
  <c r="AC7" i="3"/>
  <c r="AC8" i="3"/>
  <c r="AC9" i="3"/>
  <c r="F5" i="3"/>
  <c r="I5" i="3" s="1"/>
  <c r="F9" i="3"/>
  <c r="I9" i="3" s="1"/>
  <c r="L9" i="3" s="1"/>
  <c r="I4" i="3"/>
  <c r="L4" i="3" s="1"/>
  <c r="F7" i="3"/>
  <c r="I7" i="3" s="1"/>
  <c r="L7" i="3" s="1"/>
  <c r="H6" i="3"/>
  <c r="H7" i="3"/>
  <c r="K7" i="3" s="1"/>
  <c r="H5" i="3"/>
  <c r="K5" i="3" s="1"/>
  <c r="M10" i="3"/>
  <c r="K10" i="3"/>
  <c r="H8" i="3"/>
  <c r="H9" i="3"/>
  <c r="L6" i="3"/>
  <c r="L8" i="3"/>
  <c r="M4" i="3"/>
  <c r="F7" i="6"/>
  <c r="E7" i="6"/>
  <c r="D12" i="6"/>
  <c r="G12" i="6"/>
  <c r="F36" i="2" l="1"/>
  <c r="F39" i="2" s="1"/>
  <c r="D36" i="2"/>
  <c r="D39" i="2" s="1"/>
  <c r="C22" i="6"/>
  <c r="C19" i="6"/>
  <c r="C20" i="6"/>
  <c r="G20" i="6"/>
  <c r="G22" i="6"/>
  <c r="G19" i="6"/>
  <c r="B22" i="6"/>
  <c r="B19" i="6"/>
  <c r="B20" i="6"/>
  <c r="D19" i="6"/>
  <c r="D20" i="6"/>
  <c r="D22" i="6"/>
  <c r="F25" i="5"/>
  <c r="F26" i="5"/>
  <c r="F32" i="5" s="1"/>
  <c r="F34" i="5" s="1"/>
  <c r="B35" i="5"/>
  <c r="B38" i="5" s="1"/>
  <c r="B37" i="5"/>
  <c r="E35" i="5"/>
  <c r="E38" i="5" s="1"/>
  <c r="E36" i="5"/>
  <c r="E39" i="5" s="1"/>
  <c r="E37" i="5"/>
  <c r="H37" i="5"/>
  <c r="H35" i="5"/>
  <c r="H38" i="5" s="1"/>
  <c r="H36" i="5"/>
  <c r="G36" i="2"/>
  <c r="G39" i="2" s="1"/>
  <c r="E35" i="2"/>
  <c r="E38" i="2" s="1"/>
  <c r="E37" i="2"/>
  <c r="C37" i="2"/>
  <c r="C35" i="2"/>
  <c r="C38" i="2" s="1"/>
  <c r="H36" i="2"/>
  <c r="B35" i="2"/>
  <c r="B38" i="2" s="1"/>
  <c r="B37" i="2"/>
  <c r="H22" i="6"/>
  <c r="H19" i="6"/>
  <c r="H20" i="6"/>
  <c r="H17" i="6"/>
  <c r="H15" i="6"/>
  <c r="H18" i="6"/>
  <c r="H14" i="6"/>
  <c r="H16" i="6"/>
  <c r="H13" i="6"/>
  <c r="B15" i="6"/>
  <c r="B17" i="6"/>
  <c r="B14" i="6"/>
  <c r="B16" i="6"/>
  <c r="B13" i="6"/>
  <c r="B18" i="6"/>
  <c r="G16" i="6"/>
  <c r="G13" i="6"/>
  <c r="G14" i="6"/>
  <c r="G15" i="6"/>
  <c r="G17" i="6"/>
  <c r="G18" i="6"/>
  <c r="C16" i="6"/>
  <c r="C13" i="6"/>
  <c r="C18" i="6"/>
  <c r="C17" i="6"/>
  <c r="C14" i="6"/>
  <c r="C15" i="6"/>
  <c r="D17" i="6"/>
  <c r="D13" i="6"/>
  <c r="D18" i="6"/>
  <c r="D14" i="6"/>
  <c r="D15" i="6"/>
  <c r="D16" i="6"/>
  <c r="C21" i="6"/>
  <c r="F12" i="6"/>
  <c r="E12" i="6"/>
  <c r="L5" i="3"/>
  <c r="M9" i="3"/>
  <c r="K9" i="3"/>
  <c r="K8" i="3"/>
  <c r="M5" i="3"/>
  <c r="M6" i="3"/>
  <c r="M8" i="3"/>
  <c r="M7" i="3"/>
  <c r="K6" i="3"/>
  <c r="E19" i="6" l="1"/>
  <c r="E20" i="6"/>
  <c r="E22" i="6"/>
  <c r="F19" i="6"/>
  <c r="F20" i="6"/>
  <c r="F22" i="6"/>
  <c r="C36" i="2"/>
  <c r="C39" i="2" s="1"/>
  <c r="F35" i="5"/>
  <c r="F38" i="5" s="1"/>
  <c r="F37" i="5"/>
  <c r="B36" i="5"/>
  <c r="B39" i="5" s="1"/>
  <c r="E36" i="2"/>
  <c r="E39" i="2" s="1"/>
  <c r="B36" i="2"/>
  <c r="B39" i="2" s="1"/>
  <c r="E18" i="6"/>
  <c r="E14" i="6"/>
  <c r="E15" i="6"/>
  <c r="E21" i="6" s="1"/>
  <c r="E16" i="6"/>
  <c r="E13" i="6"/>
  <c r="E17" i="6"/>
  <c r="F15" i="6"/>
  <c r="F16" i="6"/>
  <c r="F13" i="6"/>
  <c r="F17" i="6"/>
  <c r="F18" i="6"/>
  <c r="F14" i="6"/>
  <c r="B21" i="6"/>
  <c r="D21" i="6"/>
  <c r="G21" i="6"/>
  <c r="C24" i="6"/>
  <c r="C30" i="6"/>
  <c r="C33" i="6" s="1"/>
  <c r="H21" i="6"/>
  <c r="F36" i="5" l="1"/>
  <c r="F39" i="5" s="1"/>
  <c r="F21" i="6"/>
  <c r="F24" i="6" s="1"/>
  <c r="F30" i="6"/>
  <c r="F33" i="6" s="1"/>
  <c r="E24" i="6"/>
  <c r="E30" i="6"/>
  <c r="E33" i="6" s="1"/>
  <c r="C25" i="6"/>
  <c r="C26" i="6"/>
  <c r="C32" i="6" s="1"/>
  <c r="C34" i="6" s="1"/>
  <c r="B30" i="6"/>
  <c r="B33" i="6" s="1"/>
  <c r="B24" i="6"/>
  <c r="G24" i="6"/>
  <c r="G30" i="6"/>
  <c r="G33" i="6" s="1"/>
  <c r="H30" i="6"/>
  <c r="H33" i="6" s="1"/>
  <c r="H24" i="6"/>
  <c r="D30" i="6"/>
  <c r="D33" i="6" s="1"/>
  <c r="D24" i="6"/>
  <c r="F25" i="6"/>
  <c r="F26" i="6"/>
  <c r="F32" i="6" s="1"/>
  <c r="F34" i="6" l="1"/>
  <c r="F37" i="6" s="1"/>
  <c r="C35" i="6"/>
  <c r="C38" i="6" s="1"/>
  <c r="C37" i="6"/>
  <c r="B25" i="6"/>
  <c r="B26" i="6"/>
  <c r="B32" i="6" s="1"/>
  <c r="B34" i="6" s="1"/>
  <c r="D25" i="6"/>
  <c r="D26" i="6"/>
  <c r="D32" i="6" s="1"/>
  <c r="D34" i="6" s="1"/>
  <c r="G26" i="6"/>
  <c r="G32" i="6" s="1"/>
  <c r="G34" i="6" s="1"/>
  <c r="G25" i="6"/>
  <c r="H25" i="6"/>
  <c r="H26" i="6"/>
  <c r="H32" i="6" s="1"/>
  <c r="H34" i="6" s="1"/>
  <c r="E26" i="6"/>
  <c r="E32" i="6" s="1"/>
  <c r="E34" i="6" s="1"/>
  <c r="E25" i="6"/>
  <c r="F35" i="6" l="1"/>
  <c r="F38" i="6" s="1"/>
  <c r="B37" i="6"/>
  <c r="B35" i="6"/>
  <c r="B38" i="6" s="1"/>
  <c r="G37" i="6"/>
  <c r="G35" i="6"/>
  <c r="G38" i="6" s="1"/>
  <c r="H35" i="6"/>
  <c r="H38" i="6" s="1"/>
  <c r="H37" i="6"/>
  <c r="D35" i="6"/>
  <c r="D38" i="6" s="1"/>
  <c r="D37" i="6"/>
  <c r="E37" i="6"/>
  <c r="E35" i="6"/>
  <c r="E38" i="6" s="1"/>
  <c r="C36" i="6"/>
  <c r="C39" i="6" s="1"/>
  <c r="F36" i="6" l="1"/>
  <c r="F39" i="6" s="1"/>
  <c r="G36" i="6"/>
  <c r="G39" i="6" s="1"/>
  <c r="E36" i="6"/>
  <c r="E39" i="6" s="1"/>
  <c r="D36" i="6"/>
  <c r="D39" i="6" s="1"/>
  <c r="B36" i="6"/>
  <c r="B39" i="6" s="1"/>
  <c r="H36" i="6"/>
</calcChain>
</file>

<file path=xl/sharedStrings.xml><?xml version="1.0" encoding="utf-8"?>
<sst xmlns="http://schemas.openxmlformats.org/spreadsheetml/2006/main" count="310" uniqueCount="146">
  <si>
    <t>Kalendertage</t>
  </si>
  <si>
    <t>Kalendermonat</t>
  </si>
  <si>
    <t>Jan.</t>
  </si>
  <si>
    <t>Feb.</t>
  </si>
  <si>
    <t>Mrz.</t>
  </si>
  <si>
    <t>Apr.</t>
  </si>
  <si>
    <t>Mai</t>
  </si>
  <si>
    <t>Jun.</t>
  </si>
  <si>
    <t>Jul.</t>
  </si>
  <si>
    <t>Aug.</t>
  </si>
  <si>
    <t>Sept.</t>
  </si>
  <si>
    <t>Okt.</t>
  </si>
  <si>
    <t>Nov.</t>
  </si>
  <si>
    <t>Dez</t>
  </si>
  <si>
    <t>Krankenversicherung</t>
  </si>
  <si>
    <t>davon 50 % AG</t>
  </si>
  <si>
    <t>Arbeitstage</t>
  </si>
  <si>
    <t>Rentenversicherung</t>
  </si>
  <si>
    <t>Arbeitslosenversicherung</t>
  </si>
  <si>
    <t>Urlaub</t>
  </si>
  <si>
    <t>Schulung</t>
  </si>
  <si>
    <t>davon 50% AG</t>
  </si>
  <si>
    <t>Neujahr</t>
  </si>
  <si>
    <t>Donnerstag</t>
  </si>
  <si>
    <t>Dreikönig</t>
  </si>
  <si>
    <t>Umlage 1 Krankheit</t>
  </si>
  <si>
    <t>davon 100 % AG</t>
  </si>
  <si>
    <t>Karfreitag</t>
  </si>
  <si>
    <t>Freitag</t>
  </si>
  <si>
    <t>Ostermontag</t>
  </si>
  <si>
    <t>Montag</t>
  </si>
  <si>
    <t>Umlage 2 Schwangerschaft</t>
  </si>
  <si>
    <t>Tag der Arbeit</t>
  </si>
  <si>
    <t>Christi Himmelfahrt</t>
  </si>
  <si>
    <t>Pfingstmontag</t>
  </si>
  <si>
    <t>Fronleichnam</t>
  </si>
  <si>
    <t>Tag der dt. Einheit</t>
  </si>
  <si>
    <t>Allerheiligen</t>
  </si>
  <si>
    <t>Krankeitstage</t>
  </si>
  <si>
    <t>1. Weihnachtstag</t>
  </si>
  <si>
    <t>PKS Beitragsbemessungsgrenze</t>
  </si>
  <si>
    <t>2. Weihnachtstag</t>
  </si>
  <si>
    <t>AKS</t>
  </si>
  <si>
    <t>Lohngruppe</t>
  </si>
  <si>
    <t>I</t>
  </si>
  <si>
    <t>II</t>
  </si>
  <si>
    <t>III</t>
  </si>
  <si>
    <t>IV</t>
  </si>
  <si>
    <t>V</t>
  </si>
  <si>
    <t>Stundenlohn</t>
  </si>
  <si>
    <t>Monatslohn</t>
  </si>
  <si>
    <t>Jahreslohn</t>
  </si>
  <si>
    <t>Jahressonderzahlung</t>
  </si>
  <si>
    <t>Kleidergeld</t>
  </si>
  <si>
    <t>Vermögensw. Leistung</t>
  </si>
  <si>
    <t>SV Brutto</t>
  </si>
  <si>
    <t>Jahresgesamtkosten</t>
  </si>
  <si>
    <t>Kosten im Monat</t>
  </si>
  <si>
    <t>Kosten je Arbeitstag</t>
  </si>
  <si>
    <t>Pflegeversicherung</t>
  </si>
  <si>
    <t>Umlage 1</t>
  </si>
  <si>
    <t>Umlage 2</t>
  </si>
  <si>
    <t>Berufsgenossenschaft</t>
  </si>
  <si>
    <t>Ausbildungskostenausgleichsk.</t>
  </si>
  <si>
    <t>Summe Sozialversicherung</t>
  </si>
  <si>
    <t>Lohngruppen</t>
  </si>
  <si>
    <t>Umsatzsteuer</t>
  </si>
  <si>
    <t>Gemeinlasttage Lohngruppe 0-II</t>
  </si>
  <si>
    <t>Gemeinlasttage Lohngruppe III-V</t>
  </si>
  <si>
    <t>Waschgeld</t>
  </si>
  <si>
    <t>Waschgeld/Lohnwoche</t>
  </si>
  <si>
    <t>Gesamtkosten je Lohnwoche</t>
  </si>
  <si>
    <t>Kosten je Lohnwoche</t>
  </si>
  <si>
    <r>
      <t xml:space="preserve">Pensionskasse </t>
    </r>
    <r>
      <rPr>
        <vertAlign val="superscript"/>
        <sz val="11"/>
        <rFont val="Calibri"/>
        <family val="2"/>
        <scheme val="minor"/>
      </rPr>
      <t>1)</t>
    </r>
  </si>
  <si>
    <r>
      <t xml:space="preserve">Kleidergeld </t>
    </r>
    <r>
      <rPr>
        <vertAlign val="superscript"/>
        <sz val="11"/>
        <rFont val="Calibri"/>
        <family val="2"/>
        <scheme val="minor"/>
      </rPr>
      <t>1)</t>
    </r>
  </si>
  <si>
    <r>
      <t xml:space="preserve">Gemeinlasttage </t>
    </r>
    <r>
      <rPr>
        <vertAlign val="superscript"/>
        <sz val="11"/>
        <rFont val="Calibri"/>
        <family val="2"/>
        <scheme val="minor"/>
      </rPr>
      <t>2)</t>
    </r>
  </si>
  <si>
    <t>Insolvenzgeld</t>
  </si>
  <si>
    <t>MLT</t>
  </si>
  <si>
    <t>Bau BG</t>
  </si>
  <si>
    <t>Gemeinlasttage MLT</t>
  </si>
  <si>
    <t xml:space="preserve">gesetzl. Mindesurlaub </t>
  </si>
  <si>
    <r>
      <rPr>
        <b/>
        <vertAlign val="superscript"/>
        <sz val="9"/>
        <rFont val="Calibri"/>
        <family val="2"/>
        <scheme val="minor"/>
      </rPr>
      <t>1)</t>
    </r>
    <r>
      <rPr>
        <b/>
        <sz val="9"/>
        <rFont val="Calibri"/>
        <family val="2"/>
        <scheme val="minor"/>
      </rPr>
      <t xml:space="preserve"> keine SV Berechnung</t>
    </r>
  </si>
  <si>
    <t>Kosten Gemeinlast je Lohnwoche</t>
  </si>
  <si>
    <t>Berechnung Gemeinlast</t>
  </si>
  <si>
    <t>Kosten Gemeinlast je Arbeitstag</t>
  </si>
  <si>
    <t>Kosten je Lohnwoche incl. USt.</t>
  </si>
  <si>
    <t>Kosten je Arbeitstag incl. USt.</t>
  </si>
  <si>
    <t>Zusammenstellung der Ergebnisse</t>
  </si>
  <si>
    <t>Sonntag</t>
  </si>
  <si>
    <r>
      <t xml:space="preserve">Krankenversicherung </t>
    </r>
    <r>
      <rPr>
        <b/>
        <vertAlign val="superscript"/>
        <sz val="10"/>
        <rFont val="Calibri"/>
        <family val="2"/>
        <scheme val="minor"/>
      </rPr>
      <t>1)</t>
    </r>
  </si>
  <si>
    <t>Tarifgruppe</t>
  </si>
  <si>
    <t>Zusätzlich:</t>
  </si>
  <si>
    <t>Vermögenswirksame Leistungen 480,00 €/Jahr entspricht 40 €/ Monat (entsprechend den Vorgaben des 5. Vermögensbildungs-gesetzes)</t>
  </si>
  <si>
    <t>Tabellenwerte auf Rundungsfehler geprüft und händisch übertragen!</t>
  </si>
  <si>
    <t>VI</t>
  </si>
  <si>
    <r>
      <rPr>
        <b/>
        <vertAlign val="superscript"/>
        <sz val="9"/>
        <color theme="1"/>
        <rFont val="Calibri"/>
        <family val="2"/>
        <scheme val="minor"/>
      </rPr>
      <t>2)</t>
    </r>
    <r>
      <rPr>
        <b/>
        <sz val="9"/>
        <color theme="1"/>
        <rFont val="Calibri"/>
        <family val="2"/>
        <scheme val="minor"/>
      </rPr>
      <t xml:space="preserve"> Urlaubstage Lohngruppen I-III 30 / IV-VI 32</t>
    </r>
  </si>
  <si>
    <t>davon 0% AG</t>
  </si>
  <si>
    <t>Krankenversicherung Zusatzbeitrag</t>
  </si>
  <si>
    <t>Pflegeversicherung (Zusatzbeitrag Kinderlose AN  ab 23 )</t>
  </si>
  <si>
    <t>Dienstag</t>
  </si>
  <si>
    <t>Anzahl Feiertage an Werktagen 2022</t>
  </si>
  <si>
    <t>Summe:</t>
  </si>
  <si>
    <t>Beitragssätze können abweichen! Quelle IKK classic + Beitragsbescheid der BG Bau Eisele!</t>
  </si>
  <si>
    <r>
      <rPr>
        <b/>
        <vertAlign val="superscript"/>
        <sz val="6"/>
        <color theme="1"/>
        <rFont val="Arial Narrow"/>
        <family val="2"/>
      </rPr>
      <t>1)</t>
    </r>
    <r>
      <rPr>
        <b/>
        <sz val="6"/>
        <color theme="1"/>
        <rFont val="Arial Narrow"/>
        <family val="2"/>
      </rPr>
      <t xml:space="preserve"> seit 2019 wird der Zusatzbeitrag paritätisch finanziert!</t>
    </r>
  </si>
  <si>
    <t>I-III</t>
  </si>
  <si>
    <t>IV-VI</t>
  </si>
  <si>
    <t>Wochenstunden</t>
  </si>
  <si>
    <t>Berechnungsgrundlagen Lohnkosten 2023</t>
  </si>
  <si>
    <t>Mittwoch</t>
  </si>
  <si>
    <t>Stundenlöhne bis 28.2.</t>
  </si>
  <si>
    <t>Stundenlöhne ab 1.3.</t>
  </si>
  <si>
    <r>
      <t xml:space="preserve">Stundenlöhne </t>
    </r>
    <r>
      <rPr>
        <b/>
        <sz val="9"/>
        <color theme="1"/>
        <rFont val="Calibri"/>
        <family val="2"/>
      </rPr>
      <t>Ø</t>
    </r>
  </si>
  <si>
    <t>Inflationsbonus</t>
  </si>
  <si>
    <t>Lohnkostenberechnung 2023</t>
  </si>
  <si>
    <r>
      <t xml:space="preserve">Inflationsbonus </t>
    </r>
    <r>
      <rPr>
        <vertAlign val="superscript"/>
        <sz val="11"/>
        <rFont val="Calibri"/>
        <family val="2"/>
        <scheme val="minor"/>
      </rPr>
      <t>1)</t>
    </r>
  </si>
  <si>
    <t>Ø</t>
  </si>
  <si>
    <t>Stundenlohn 01 - 02</t>
  </si>
  <si>
    <t>Stundenlohn 03 - 12</t>
  </si>
  <si>
    <t>Monatslohn 01 - 02</t>
  </si>
  <si>
    <t>Monatslohn 03 - 12</t>
  </si>
  <si>
    <t>Monatslohn Ø</t>
  </si>
  <si>
    <t>Sonderzahlung 1/12 01 - 02</t>
  </si>
  <si>
    <t>Sonderzahlung 1/12 03 -12</t>
  </si>
  <si>
    <t>Sonderzahlung 1/12 Ø</t>
  </si>
  <si>
    <t>Monatslohn + 1/12 Sonderzahlung 01 -02</t>
  </si>
  <si>
    <t>Monatslohn + 1/12 Sonderzahlung 03 - 12</t>
  </si>
  <si>
    <t>Monatslohn + 1/12 Sonderzahlung Ø</t>
  </si>
  <si>
    <t>Pensionskasse 2% der Beitragsbemessungsgrenze (2023 = 7.050,00 €) 146,00 €/Monat</t>
  </si>
  <si>
    <t>Im Januar 2023 =&gt; 1.000,00 € Inflationsbonus Steuer- und Sozialversicherungsfrei</t>
  </si>
  <si>
    <t>Bruttolöhne 2023</t>
  </si>
  <si>
    <r>
      <t xml:space="preserve">Stundenlohn    </t>
    </r>
    <r>
      <rPr>
        <b/>
        <sz val="11"/>
        <color theme="1"/>
        <rFont val="Calibri"/>
        <family val="2"/>
      </rPr>
      <t>Ø</t>
    </r>
  </si>
  <si>
    <t>Stundenlohntabellen</t>
  </si>
  <si>
    <t>Bund</t>
  </si>
  <si>
    <t>bis 02/2023</t>
  </si>
  <si>
    <t>ab 03/2023</t>
  </si>
  <si>
    <t>Basis `24</t>
  </si>
  <si>
    <t>TG I</t>
  </si>
  <si>
    <t>TG II</t>
  </si>
  <si>
    <t>TG III</t>
  </si>
  <si>
    <t>TG IV</t>
  </si>
  <si>
    <t>TG V</t>
  </si>
  <si>
    <t>TG VI</t>
  </si>
  <si>
    <t>BW</t>
  </si>
  <si>
    <t>Tabellenrechenwerte ohne Zwischenrundung!</t>
  </si>
  <si>
    <t>Schaltjahre - Februar 29 Tage!</t>
  </si>
  <si>
    <t>Insolvenzgeldumlage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</si>
</sst>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0.000%"/>
    <numFmt numFmtId="165" formatCode="#,##0.00\ &quot;€&quot;"/>
    <numFmt numFmtId="166" formatCode="_-* #,##0.00\ [$€-1]_-;\-* #,##0.00\ [$€-1]_-;_-* &quot;-&quot;??\ [$€-1]_-"/>
    <numFmt numFmtId="167" formatCode="0.0%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0"/>
      <name val="Arial"/>
      <family val="2"/>
    </font>
    <font>
      <b/>
      <sz val="6"/>
      <color theme="1"/>
      <name val="Arial Narrow"/>
      <family val="2"/>
    </font>
    <font>
      <b/>
      <vertAlign val="superscript"/>
      <sz val="6"/>
      <color theme="1"/>
      <name val="Arial Narrow"/>
      <family val="2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0" tint="-0.1499984740745262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6" fontId="21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31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8" fillId="0" borderId="0" xfId="0" applyFont="1" applyAlignment="1">
      <alignment vertical="center"/>
    </xf>
    <xf numFmtId="1" fontId="3" fillId="0" borderId="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3" borderId="17" xfId="0" applyFont="1" applyFill="1" applyBorder="1" applyAlignment="1">
      <alignment vertical="center"/>
    </xf>
    <xf numFmtId="165" fontId="0" fillId="3" borderId="13" xfId="0" applyNumberFormat="1" applyFill="1" applyBorder="1" applyAlignment="1">
      <alignment vertical="center"/>
    </xf>
    <xf numFmtId="165" fontId="0" fillId="3" borderId="14" xfId="0" applyNumberFormat="1" applyFill="1" applyBorder="1" applyAlignment="1">
      <alignment vertical="center"/>
    </xf>
    <xf numFmtId="165" fontId="9" fillId="3" borderId="13" xfId="0" applyNumberFormat="1" applyFont="1" applyFill="1" applyBorder="1" applyAlignment="1">
      <alignment vertical="center"/>
    </xf>
    <xf numFmtId="0" fontId="9" fillId="4" borderId="17" xfId="0" applyFont="1" applyFill="1" applyBorder="1" applyAlignment="1">
      <alignment vertical="center"/>
    </xf>
    <xf numFmtId="165" fontId="0" fillId="4" borderId="13" xfId="0" applyNumberFormat="1" applyFill="1" applyBorder="1" applyAlignment="1">
      <alignment vertical="center"/>
    </xf>
    <xf numFmtId="165" fontId="0" fillId="4" borderId="14" xfId="0" applyNumberFormat="1" applyFill="1" applyBorder="1" applyAlignment="1">
      <alignment vertical="center"/>
    </xf>
    <xf numFmtId="165" fontId="0" fillId="5" borderId="13" xfId="0" applyNumberFormat="1" applyFill="1" applyBorder="1" applyAlignment="1">
      <alignment vertical="center"/>
    </xf>
    <xf numFmtId="165" fontId="0" fillId="5" borderId="14" xfId="0" applyNumberFormat="1" applyFill="1" applyBorder="1" applyAlignment="1">
      <alignment vertical="center"/>
    </xf>
    <xf numFmtId="0" fontId="8" fillId="4" borderId="17" xfId="0" applyFont="1" applyFill="1" applyBorder="1" applyAlignment="1">
      <alignment vertical="center"/>
    </xf>
    <xf numFmtId="165" fontId="8" fillId="4" borderId="13" xfId="0" applyNumberFormat="1" applyFont="1" applyFill="1" applyBorder="1" applyAlignment="1">
      <alignment vertical="center"/>
    </xf>
    <xf numFmtId="165" fontId="8" fillId="4" borderId="14" xfId="0" applyNumberFormat="1" applyFont="1" applyFill="1" applyBorder="1" applyAlignment="1">
      <alignment vertical="center"/>
    </xf>
    <xf numFmtId="0" fontId="8" fillId="6" borderId="17" xfId="0" applyFont="1" applyFill="1" applyBorder="1" applyAlignment="1">
      <alignment vertical="center"/>
    </xf>
    <xf numFmtId="165" fontId="1" fillId="6" borderId="13" xfId="0" applyNumberFormat="1" applyFont="1" applyFill="1" applyBorder="1" applyAlignment="1">
      <alignment vertical="center"/>
    </xf>
    <xf numFmtId="165" fontId="1" fillId="6" borderId="14" xfId="0" applyNumberFormat="1" applyFont="1" applyFill="1" applyBorder="1" applyAlignment="1">
      <alignment vertical="center"/>
    </xf>
    <xf numFmtId="0" fontId="9" fillId="6" borderId="17" xfId="0" applyFont="1" applyFill="1" applyBorder="1" applyAlignment="1">
      <alignment vertical="center"/>
    </xf>
    <xf numFmtId="165" fontId="0" fillId="6" borderId="13" xfId="0" applyNumberFormat="1" applyFill="1" applyBorder="1" applyAlignment="1">
      <alignment vertical="center"/>
    </xf>
    <xf numFmtId="165" fontId="0" fillId="6" borderId="14" xfId="0" applyNumberFormat="1" applyFill="1" applyBorder="1" applyAlignment="1">
      <alignment vertical="center"/>
    </xf>
    <xf numFmtId="0" fontId="9" fillId="7" borderId="17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" fontId="0" fillId="7" borderId="11" xfId="0" applyNumberFormat="1" applyFill="1" applyBorder="1" applyAlignment="1">
      <alignment vertical="center"/>
    </xf>
    <xf numFmtId="1" fontId="0" fillId="7" borderId="12" xfId="0" applyNumberFormat="1" applyFill="1" applyBorder="1" applyAlignment="1">
      <alignment vertical="center"/>
    </xf>
    <xf numFmtId="1" fontId="9" fillId="7" borderId="13" xfId="0" applyNumberFormat="1" applyFont="1" applyFill="1" applyBorder="1" applyAlignment="1">
      <alignment vertical="center"/>
    </xf>
    <xf numFmtId="1" fontId="0" fillId="7" borderId="13" xfId="0" applyNumberFormat="1" applyFill="1" applyBorder="1" applyAlignment="1">
      <alignment vertical="center"/>
    </xf>
    <xf numFmtId="0" fontId="0" fillId="7" borderId="13" xfId="0" applyFill="1" applyBorder="1" applyAlignment="1">
      <alignment vertical="center"/>
    </xf>
    <xf numFmtId="1" fontId="0" fillId="7" borderId="14" xfId="0" applyNumberForma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165" fontId="0" fillId="7" borderId="18" xfId="0" applyNumberFormat="1" applyFill="1" applyBorder="1" applyAlignment="1">
      <alignment vertical="center"/>
    </xf>
    <xf numFmtId="165" fontId="0" fillId="7" borderId="19" xfId="0" applyNumberFormat="1" applyFill="1" applyBorder="1" applyAlignment="1">
      <alignment vertical="center"/>
    </xf>
    <xf numFmtId="0" fontId="9" fillId="8" borderId="21" xfId="0" applyFont="1" applyFill="1" applyBorder="1" applyAlignment="1">
      <alignment vertical="center"/>
    </xf>
    <xf numFmtId="165" fontId="0" fillId="8" borderId="11" xfId="0" applyNumberFormat="1" applyFill="1" applyBorder="1" applyAlignment="1">
      <alignment vertical="center"/>
    </xf>
    <xf numFmtId="165" fontId="0" fillId="8" borderId="12" xfId="0" applyNumberFormat="1" applyFill="1" applyBorder="1" applyAlignment="1">
      <alignment vertical="center"/>
    </xf>
    <xf numFmtId="0" fontId="9" fillId="8" borderId="17" xfId="0" applyFont="1" applyFill="1" applyBorder="1" applyAlignment="1">
      <alignment vertical="center"/>
    </xf>
    <xf numFmtId="165" fontId="0" fillId="8" borderId="13" xfId="0" applyNumberFormat="1" applyFill="1" applyBorder="1" applyAlignment="1">
      <alignment vertical="center"/>
    </xf>
    <xf numFmtId="165" fontId="0" fillId="8" borderId="14" xfId="0" applyNumberFormat="1" applyFill="1" applyBorder="1" applyAlignment="1">
      <alignment vertical="center"/>
    </xf>
    <xf numFmtId="0" fontId="5" fillId="8" borderId="17" xfId="0" applyFont="1" applyFill="1" applyBorder="1" applyAlignment="1">
      <alignment vertical="center"/>
    </xf>
    <xf numFmtId="165" fontId="1" fillId="8" borderId="13" xfId="0" applyNumberFormat="1" applyFont="1" applyFill="1" applyBorder="1" applyAlignment="1">
      <alignment vertical="center"/>
    </xf>
    <xf numFmtId="165" fontId="1" fillId="8" borderId="14" xfId="0" applyNumberFormat="1" applyFont="1" applyFill="1" applyBorder="1" applyAlignment="1">
      <alignment vertical="center"/>
    </xf>
    <xf numFmtId="0" fontId="0" fillId="9" borderId="17" xfId="0" applyFill="1" applyBorder="1" applyAlignment="1">
      <alignment vertical="center"/>
    </xf>
    <xf numFmtId="165" fontId="0" fillId="9" borderId="13" xfId="0" applyNumberFormat="1" applyFill="1" applyBorder="1" applyAlignment="1">
      <alignment vertical="center"/>
    </xf>
    <xf numFmtId="165" fontId="0" fillId="9" borderId="14" xfId="0" applyNumberFormat="1" applyFill="1" applyBorder="1" applyAlignment="1">
      <alignment vertical="center"/>
    </xf>
    <xf numFmtId="0" fontId="0" fillId="9" borderId="20" xfId="0" applyFill="1" applyBorder="1" applyAlignment="1">
      <alignment vertical="center"/>
    </xf>
    <xf numFmtId="165" fontId="1" fillId="9" borderId="18" xfId="0" applyNumberFormat="1" applyFont="1" applyFill="1" applyBorder="1" applyAlignment="1">
      <alignment vertical="center"/>
    </xf>
    <xf numFmtId="165" fontId="1" fillId="9" borderId="19" xfId="0" applyNumberFormat="1" applyFont="1" applyFill="1" applyBorder="1" applyAlignment="1">
      <alignment vertical="center"/>
    </xf>
    <xf numFmtId="0" fontId="8" fillId="10" borderId="21" xfId="0" applyFont="1" applyFill="1" applyBorder="1" applyAlignment="1">
      <alignment horizontal="left" vertical="center"/>
    </xf>
    <xf numFmtId="0" fontId="8" fillId="10" borderId="11" xfId="0" applyFont="1" applyFill="1" applyBorder="1" applyAlignment="1">
      <alignment horizontal="center" vertical="center"/>
    </xf>
    <xf numFmtId="0" fontId="8" fillId="10" borderId="15" xfId="0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5" fontId="8" fillId="5" borderId="13" xfId="0" applyNumberFormat="1" applyFont="1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165" fontId="1" fillId="5" borderId="18" xfId="0" applyNumberFormat="1" applyFont="1" applyFill="1" applyBorder="1" applyAlignment="1">
      <alignment vertical="center"/>
    </xf>
    <xf numFmtId="165" fontId="1" fillId="5" borderId="19" xfId="0" applyNumberFormat="1" applyFont="1" applyFill="1" applyBorder="1" applyAlignment="1">
      <alignment vertical="center"/>
    </xf>
    <xf numFmtId="0" fontId="1" fillId="10" borderId="35" xfId="0" applyFont="1" applyFill="1" applyBorder="1" applyAlignment="1">
      <alignment vertical="center"/>
    </xf>
    <xf numFmtId="0" fontId="1" fillId="10" borderId="12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8" fontId="0" fillId="0" borderId="13" xfId="0" applyNumberFormat="1" applyBorder="1" applyAlignment="1">
      <alignment vertical="center"/>
    </xf>
    <xf numFmtId="0" fontId="3" fillId="2" borderId="24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/>
    </xf>
    <xf numFmtId="0" fontId="3" fillId="13" borderId="7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/>
    </xf>
    <xf numFmtId="0" fontId="11" fillId="13" borderId="4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3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65" fontId="12" fillId="0" borderId="0" xfId="0" applyNumberFormat="1" applyFont="1" applyAlignment="1">
      <alignment vertical="center"/>
    </xf>
    <xf numFmtId="164" fontId="3" fillId="0" borderId="29" xfId="0" applyNumberFormat="1" applyFont="1" applyBorder="1" applyAlignment="1">
      <alignment vertical="center"/>
    </xf>
    <xf numFmtId="164" fontId="3" fillId="0" borderId="39" xfId="0" applyNumberFormat="1" applyFont="1" applyBorder="1" applyAlignment="1">
      <alignment vertical="center"/>
    </xf>
    <xf numFmtId="164" fontId="3" fillId="0" borderId="40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12" borderId="23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11" borderId="11" xfId="0" applyFont="1" applyFill="1" applyBorder="1" applyAlignment="1">
      <alignment vertical="center"/>
    </xf>
    <xf numFmtId="0" fontId="11" fillId="11" borderId="13" xfId="0" applyFont="1" applyFill="1" applyBorder="1" applyAlignment="1">
      <alignment vertical="center"/>
    </xf>
    <xf numFmtId="0" fontId="3" fillId="11" borderId="13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0" fontId="3" fillId="5" borderId="18" xfId="0" applyFont="1" applyFill="1" applyBorder="1" applyAlignment="1">
      <alignment vertical="center"/>
    </xf>
    <xf numFmtId="10" fontId="0" fillId="0" borderId="0" xfId="0" applyNumberFormat="1" applyAlignment="1">
      <alignment vertical="center"/>
    </xf>
    <xf numFmtId="2" fontId="12" fillId="0" borderId="0" xfId="0" applyNumberFormat="1" applyFont="1" applyAlignment="1">
      <alignment vertical="center"/>
    </xf>
    <xf numFmtId="0" fontId="22" fillId="2" borderId="15" xfId="0" applyFont="1" applyFill="1" applyBorder="1" applyAlignment="1">
      <alignment vertical="center" wrapText="1"/>
    </xf>
    <xf numFmtId="164" fontId="0" fillId="5" borderId="4" xfId="0" applyNumberFormat="1" applyFill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164" fontId="3" fillId="0" borderId="33" xfId="0" applyNumberFormat="1" applyFont="1" applyBorder="1" applyAlignment="1">
      <alignment vertical="center"/>
    </xf>
    <xf numFmtId="0" fontId="14" fillId="0" borderId="15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right" vertical="center"/>
    </xf>
    <xf numFmtId="165" fontId="1" fillId="14" borderId="18" xfId="0" applyNumberFormat="1" applyFont="1" applyFill="1" applyBorder="1" applyAlignment="1" applyProtection="1">
      <alignment vertical="center"/>
      <protection locked="0"/>
    </xf>
    <xf numFmtId="165" fontId="1" fillId="13" borderId="19" xfId="0" applyNumberFormat="1" applyFont="1" applyFill="1" applyBorder="1" applyAlignment="1" applyProtection="1">
      <alignment vertical="center"/>
      <protection locked="0"/>
    </xf>
    <xf numFmtId="165" fontId="0" fillId="13" borderId="14" xfId="0" applyNumberFormat="1" applyFill="1" applyBorder="1" applyAlignment="1" applyProtection="1">
      <alignment horizontal="center" vertical="center"/>
      <protection locked="0"/>
    </xf>
    <xf numFmtId="165" fontId="0" fillId="13" borderId="19" xfId="0" applyNumberFormat="1" applyFill="1" applyBorder="1" applyAlignment="1" applyProtection="1">
      <alignment horizontal="center" vertical="center"/>
      <protection locked="0"/>
    </xf>
    <xf numFmtId="0" fontId="3" fillId="13" borderId="14" xfId="0" applyFont="1" applyFill="1" applyBorder="1" applyAlignment="1">
      <alignment vertical="center"/>
    </xf>
    <xf numFmtId="0" fontId="1" fillId="13" borderId="19" xfId="0" applyFont="1" applyFill="1" applyBorder="1" applyAlignment="1">
      <alignment vertical="center"/>
    </xf>
    <xf numFmtId="165" fontId="0" fillId="13" borderId="12" xfId="0" applyNumberFormat="1" applyFill="1" applyBorder="1" applyAlignment="1">
      <alignment horizontal="center" vertical="center"/>
    </xf>
    <xf numFmtId="165" fontId="1" fillId="14" borderId="28" xfId="0" applyNumberFormat="1" applyFont="1" applyFill="1" applyBorder="1" applyAlignment="1" applyProtection="1">
      <alignment vertical="center"/>
      <protection locked="0"/>
    </xf>
    <xf numFmtId="165" fontId="1" fillId="13" borderId="45" xfId="0" applyNumberFormat="1" applyFont="1" applyFill="1" applyBorder="1" applyAlignment="1" applyProtection="1">
      <alignment vertical="center"/>
      <protection locked="0"/>
    </xf>
    <xf numFmtId="0" fontId="31" fillId="0" borderId="0" xfId="0" applyFont="1" applyAlignment="1">
      <alignment vertical="center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2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165" fontId="0" fillId="0" borderId="13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165" fontId="0" fillId="0" borderId="18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9" fontId="0" fillId="0" borderId="0" xfId="3" applyFont="1" applyAlignment="1">
      <alignment horizontal="center" vertical="center"/>
    </xf>
    <xf numFmtId="167" fontId="0" fillId="0" borderId="15" xfId="3" applyNumberFormat="1" applyFont="1" applyBorder="1" applyAlignment="1">
      <alignment horizontal="center" vertical="center"/>
    </xf>
    <xf numFmtId="167" fontId="0" fillId="0" borderId="0" xfId="3" applyNumberFormat="1" applyFont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0" fillId="0" borderId="15" xfId="0" applyNumberForma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5" fontId="1" fillId="0" borderId="43" xfId="0" applyNumberFormat="1" applyFont="1" applyBorder="1" applyAlignment="1">
      <alignment horizontal="center" vertical="center" wrapText="1"/>
    </xf>
    <xf numFmtId="8" fontId="1" fillId="0" borderId="13" xfId="0" applyNumberFormat="1" applyFont="1" applyBorder="1" applyAlignment="1">
      <alignment horizontal="center" vertical="center" wrapText="1"/>
    </xf>
    <xf numFmtId="8" fontId="1" fillId="0" borderId="13" xfId="0" applyNumberFormat="1" applyFont="1" applyBorder="1" applyAlignment="1">
      <alignment vertical="center"/>
    </xf>
    <xf numFmtId="8" fontId="1" fillId="0" borderId="39" xfId="0" applyNumberFormat="1" applyFont="1" applyBorder="1" applyAlignment="1">
      <alignment vertical="center"/>
    </xf>
    <xf numFmtId="8" fontId="1" fillId="6" borderId="13" xfId="0" applyNumberFormat="1" applyFont="1" applyFill="1" applyBorder="1" applyAlignment="1">
      <alignment horizontal="center" vertical="center" wrapText="1"/>
    </xf>
    <xf numFmtId="8" fontId="1" fillId="6" borderId="13" xfId="0" applyNumberFormat="1" applyFont="1" applyFill="1" applyBorder="1" applyAlignment="1">
      <alignment vertical="center"/>
    </xf>
    <xf numFmtId="8" fontId="1" fillId="6" borderId="39" xfId="0" applyNumberFormat="1" applyFont="1" applyFill="1" applyBorder="1" applyAlignment="1">
      <alignment vertical="center"/>
    </xf>
    <xf numFmtId="165" fontId="8" fillId="2" borderId="46" xfId="0" applyNumberFormat="1" applyFont="1" applyFill="1" applyBorder="1" applyAlignment="1">
      <alignment horizontal="center" vertical="center" wrapText="1"/>
    </xf>
    <xf numFmtId="8" fontId="8" fillId="2" borderId="18" xfId="0" applyNumberFormat="1" applyFont="1" applyFill="1" applyBorder="1" applyAlignment="1">
      <alignment horizontal="center" vertical="center" wrapText="1"/>
    </xf>
    <xf numFmtId="8" fontId="1" fillId="2" borderId="18" xfId="0" applyNumberFormat="1" applyFont="1" applyFill="1" applyBorder="1" applyAlignment="1">
      <alignment horizontal="center" vertical="center" wrapText="1"/>
    </xf>
    <xf numFmtId="8" fontId="1" fillId="2" borderId="18" xfId="0" applyNumberFormat="1" applyFont="1" applyFill="1" applyBorder="1" applyAlignment="1">
      <alignment vertical="center"/>
    </xf>
    <xf numFmtId="8" fontId="1" fillId="2" borderId="40" xfId="0" applyNumberFormat="1" applyFont="1" applyFill="1" applyBorder="1" applyAlignment="1">
      <alignment vertical="center"/>
    </xf>
    <xf numFmtId="8" fontId="1" fillId="2" borderId="19" xfId="0" applyNumberFormat="1" applyFont="1" applyFill="1" applyBorder="1" applyAlignment="1">
      <alignment vertical="center"/>
    </xf>
    <xf numFmtId="0" fontId="1" fillId="3" borderId="17" xfId="0" applyFont="1" applyFill="1" applyBorder="1" applyAlignment="1">
      <alignment horizontal="center" vertical="center" wrapText="1"/>
    </xf>
    <xf numFmtId="165" fontId="1" fillId="3" borderId="43" xfId="0" applyNumberFormat="1" applyFont="1" applyFill="1" applyBorder="1" applyAlignment="1">
      <alignment horizontal="center" vertical="center" wrapText="1"/>
    </xf>
    <xf numFmtId="8" fontId="1" fillId="3" borderId="13" xfId="0" applyNumberFormat="1" applyFont="1" applyFill="1" applyBorder="1" applyAlignment="1">
      <alignment horizontal="center" vertical="center" wrapText="1"/>
    </xf>
    <xf numFmtId="8" fontId="1" fillId="3" borderId="13" xfId="0" applyNumberFormat="1" applyFont="1" applyFill="1" applyBorder="1" applyAlignment="1">
      <alignment vertical="center"/>
    </xf>
    <xf numFmtId="8" fontId="1" fillId="3" borderId="39" xfId="0" applyNumberFormat="1" applyFont="1" applyFill="1" applyBorder="1" applyAlignment="1">
      <alignment vertical="center"/>
    </xf>
    <xf numFmtId="0" fontId="1" fillId="16" borderId="17" xfId="0" applyFont="1" applyFill="1" applyBorder="1" applyAlignment="1">
      <alignment horizontal="center" vertical="center" wrapText="1"/>
    </xf>
    <xf numFmtId="165" fontId="1" fillId="16" borderId="43" xfId="0" applyNumberFormat="1" applyFont="1" applyFill="1" applyBorder="1" applyAlignment="1">
      <alignment horizontal="center" vertical="center" wrapText="1"/>
    </xf>
    <xf numFmtId="8" fontId="1" fillId="16" borderId="13" xfId="0" applyNumberFormat="1" applyFont="1" applyFill="1" applyBorder="1" applyAlignment="1">
      <alignment horizontal="center" vertical="center" wrapText="1"/>
    </xf>
    <xf numFmtId="8" fontId="1" fillId="16" borderId="13" xfId="0" applyNumberFormat="1" applyFont="1" applyFill="1" applyBorder="1" applyAlignment="1">
      <alignment vertical="center"/>
    </xf>
    <xf numFmtId="8" fontId="1" fillId="16" borderId="39" xfId="0" applyNumberFormat="1" applyFont="1" applyFill="1" applyBorder="1" applyAlignment="1">
      <alignment vertical="center"/>
    </xf>
    <xf numFmtId="0" fontId="1" fillId="17" borderId="17" xfId="0" applyFont="1" applyFill="1" applyBorder="1" applyAlignment="1">
      <alignment horizontal="center" vertical="center" wrapText="1"/>
    </xf>
    <xf numFmtId="165" fontId="1" fillId="17" borderId="43" xfId="0" applyNumberFormat="1" applyFont="1" applyFill="1" applyBorder="1" applyAlignment="1">
      <alignment horizontal="center" vertical="center" wrapText="1"/>
    </xf>
    <xf numFmtId="8" fontId="1" fillId="17" borderId="13" xfId="0" applyNumberFormat="1" applyFont="1" applyFill="1" applyBorder="1" applyAlignment="1">
      <alignment horizontal="center" vertical="center" wrapText="1"/>
    </xf>
    <xf numFmtId="8" fontId="1" fillId="17" borderId="13" xfId="0" applyNumberFormat="1" applyFont="1" applyFill="1" applyBorder="1" applyAlignment="1">
      <alignment vertical="center"/>
    </xf>
    <xf numFmtId="8" fontId="1" fillId="17" borderId="39" xfId="0" applyNumberFormat="1" applyFont="1" applyFill="1" applyBorder="1" applyAlignment="1">
      <alignment vertical="center"/>
    </xf>
    <xf numFmtId="0" fontId="1" fillId="18" borderId="43" xfId="0" applyFont="1" applyFill="1" applyBorder="1" applyAlignment="1">
      <alignment horizontal="center" vertical="center" wrapText="1"/>
    </xf>
    <xf numFmtId="165" fontId="1" fillId="18" borderId="43" xfId="0" applyNumberFormat="1" applyFont="1" applyFill="1" applyBorder="1" applyAlignment="1">
      <alignment horizontal="center" vertical="center" wrapText="1"/>
    </xf>
    <xf numFmtId="8" fontId="1" fillId="18" borderId="13" xfId="0" applyNumberFormat="1" applyFont="1" applyFill="1" applyBorder="1" applyAlignment="1">
      <alignment horizontal="center" vertical="center" wrapText="1"/>
    </xf>
    <xf numFmtId="8" fontId="1" fillId="18" borderId="13" xfId="0" applyNumberFormat="1" applyFont="1" applyFill="1" applyBorder="1" applyAlignment="1">
      <alignment vertical="center"/>
    </xf>
    <xf numFmtId="8" fontId="1" fillId="18" borderId="39" xfId="0" applyNumberFormat="1" applyFont="1" applyFill="1" applyBorder="1" applyAlignment="1">
      <alignment vertical="center"/>
    </xf>
    <xf numFmtId="0" fontId="27" fillId="19" borderId="43" xfId="0" applyFont="1" applyFill="1" applyBorder="1" applyAlignment="1">
      <alignment horizontal="center" vertical="center" wrapText="1"/>
    </xf>
    <xf numFmtId="165" fontId="27" fillId="19" borderId="43" xfId="0" applyNumberFormat="1" applyFont="1" applyFill="1" applyBorder="1" applyAlignment="1">
      <alignment horizontal="center" vertical="center" wrapText="1"/>
    </xf>
    <xf numFmtId="8" fontId="27" fillId="19" borderId="13" xfId="0" applyNumberFormat="1" applyFont="1" applyFill="1" applyBorder="1" applyAlignment="1">
      <alignment horizontal="center" vertical="center" wrapText="1"/>
    </xf>
    <xf numFmtId="8" fontId="27" fillId="19" borderId="13" xfId="0" applyNumberFormat="1" applyFont="1" applyFill="1" applyBorder="1" applyAlignment="1">
      <alignment vertical="center"/>
    </xf>
    <xf numFmtId="8" fontId="27" fillId="19" borderId="39" xfId="0" applyNumberFormat="1" applyFont="1" applyFill="1" applyBorder="1" applyAlignment="1">
      <alignment vertical="center"/>
    </xf>
    <xf numFmtId="165" fontId="8" fillId="2" borderId="43" xfId="0" applyNumberFormat="1" applyFont="1" applyFill="1" applyBorder="1" applyAlignment="1">
      <alignment horizontal="center" vertical="center" wrapText="1"/>
    </xf>
    <xf numFmtId="8" fontId="8" fillId="2" borderId="13" xfId="0" applyNumberFormat="1" applyFont="1" applyFill="1" applyBorder="1" applyAlignment="1">
      <alignment horizontal="center" vertical="center" wrapText="1"/>
    </xf>
    <xf numFmtId="8" fontId="1" fillId="2" borderId="13" xfId="0" applyNumberFormat="1" applyFont="1" applyFill="1" applyBorder="1" applyAlignment="1">
      <alignment horizontal="center" vertical="center" wrapText="1"/>
    </xf>
    <xf numFmtId="8" fontId="1" fillId="2" borderId="13" xfId="0" applyNumberFormat="1" applyFont="1" applyFill="1" applyBorder="1" applyAlignment="1">
      <alignment vertical="center"/>
    </xf>
    <xf numFmtId="8" fontId="1" fillId="2" borderId="39" xfId="0" applyNumberFormat="1" applyFont="1" applyFill="1" applyBorder="1" applyAlignment="1">
      <alignment vertical="center"/>
    </xf>
    <xf numFmtId="165" fontId="30" fillId="0" borderId="18" xfId="0" applyNumberFormat="1" applyFont="1" applyBorder="1" applyAlignment="1" applyProtection="1">
      <alignment horizontal="center" vertical="center" wrapText="1"/>
      <protection locked="0"/>
    </xf>
    <xf numFmtId="165" fontId="30" fillId="0" borderId="19" xfId="0" applyNumberFormat="1" applyFont="1" applyBorder="1" applyAlignment="1" applyProtection="1">
      <alignment vertical="center"/>
      <protection locked="0"/>
    </xf>
    <xf numFmtId="0" fontId="1" fillId="10" borderId="21" xfId="0" applyFont="1" applyFill="1" applyBorder="1" applyAlignment="1">
      <alignment horizontal="center" vertical="center" textRotation="90" wrapText="1"/>
    </xf>
    <xf numFmtId="0" fontId="1" fillId="5" borderId="11" xfId="0" applyFont="1" applyFill="1" applyBorder="1" applyAlignment="1">
      <alignment horizontal="center" vertical="center" textRotation="90" wrapText="1"/>
    </xf>
    <xf numFmtId="165" fontId="1" fillId="5" borderId="43" xfId="0" applyNumberFormat="1" applyFont="1" applyFill="1" applyBorder="1" applyAlignment="1">
      <alignment horizontal="center" vertical="center" wrapText="1"/>
    </xf>
    <xf numFmtId="8" fontId="1" fillId="5" borderId="13" xfId="0" applyNumberFormat="1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textRotation="90" wrapText="1"/>
    </xf>
    <xf numFmtId="8" fontId="1" fillId="5" borderId="13" xfId="0" applyNumberFormat="1" applyFont="1" applyFill="1" applyBorder="1" applyAlignment="1">
      <alignment vertical="center"/>
    </xf>
    <xf numFmtId="0" fontId="1" fillId="5" borderId="12" xfId="0" applyFont="1" applyFill="1" applyBorder="1" applyAlignment="1">
      <alignment horizontal="center" vertical="center" textRotation="90" wrapText="1"/>
    </xf>
    <xf numFmtId="8" fontId="1" fillId="5" borderId="39" xfId="0" applyNumberFormat="1" applyFont="1" applyFill="1" applyBorder="1" applyAlignment="1">
      <alignment vertical="center"/>
    </xf>
    <xf numFmtId="0" fontId="1" fillId="6" borderId="11" xfId="0" applyFont="1" applyFill="1" applyBorder="1" applyAlignment="1">
      <alignment horizontal="center" vertical="center" textRotation="90" wrapText="1"/>
    </xf>
    <xf numFmtId="0" fontId="1" fillId="6" borderId="24" xfId="0" applyFont="1" applyFill="1" applyBorder="1" applyAlignment="1">
      <alignment horizontal="center" vertical="center" textRotation="90" wrapText="1"/>
    </xf>
    <xf numFmtId="0" fontId="1" fillId="6" borderId="12" xfId="0" applyFont="1" applyFill="1" applyBorder="1" applyAlignment="1">
      <alignment horizontal="center" vertical="center" textRotation="90" wrapText="1"/>
    </xf>
    <xf numFmtId="0" fontId="1" fillId="14" borderId="11" xfId="0" applyFont="1" applyFill="1" applyBorder="1" applyAlignment="1">
      <alignment horizontal="center" vertical="center" textRotation="90" wrapText="1"/>
    </xf>
    <xf numFmtId="8" fontId="1" fillId="14" borderId="13" xfId="0" applyNumberFormat="1" applyFont="1" applyFill="1" applyBorder="1" applyAlignment="1">
      <alignment horizontal="center" vertical="center" wrapText="1"/>
    </xf>
    <xf numFmtId="0" fontId="1" fillId="14" borderId="24" xfId="0" applyFont="1" applyFill="1" applyBorder="1" applyAlignment="1">
      <alignment horizontal="center" vertical="center" textRotation="90" wrapText="1"/>
    </xf>
    <xf numFmtId="8" fontId="1" fillId="14" borderId="13" xfId="0" applyNumberFormat="1" applyFont="1" applyFill="1" applyBorder="1" applyAlignment="1">
      <alignment vertical="center"/>
    </xf>
    <xf numFmtId="0" fontId="1" fillId="14" borderId="12" xfId="0" applyFont="1" applyFill="1" applyBorder="1" applyAlignment="1">
      <alignment horizontal="center" vertical="center" textRotation="90" wrapText="1"/>
    </xf>
    <xf numFmtId="8" fontId="1" fillId="14" borderId="14" xfId="0" applyNumberFormat="1" applyFont="1" applyFill="1" applyBorder="1" applyAlignment="1">
      <alignment vertical="center"/>
    </xf>
    <xf numFmtId="8" fontId="0" fillId="0" borderId="39" xfId="0" applyNumberFormat="1" applyBorder="1" applyAlignment="1">
      <alignment vertical="center"/>
    </xf>
    <xf numFmtId="0" fontId="1" fillId="10" borderId="1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164" fontId="0" fillId="13" borderId="11" xfId="0" applyNumberFormat="1" applyFill="1" applyBorder="1" applyAlignment="1" applyProtection="1">
      <alignment vertical="center"/>
      <protection locked="0"/>
    </xf>
    <xf numFmtId="164" fontId="0" fillId="13" borderId="13" xfId="0" applyNumberFormat="1" applyFill="1" applyBorder="1" applyAlignment="1" applyProtection="1">
      <alignment vertical="center"/>
      <protection locked="0"/>
    </xf>
    <xf numFmtId="164" fontId="0" fillId="13" borderId="18" xfId="0" applyNumberFormat="1" applyFill="1" applyBorder="1" applyAlignment="1" applyProtection="1">
      <alignment vertical="center"/>
      <protection locked="0"/>
    </xf>
    <xf numFmtId="8" fontId="1" fillId="13" borderId="24" xfId="0" applyNumberFormat="1" applyFont="1" applyFill="1" applyBorder="1" applyAlignment="1" applyProtection="1">
      <alignment vertical="center"/>
      <protection locked="0"/>
    </xf>
    <xf numFmtId="8" fontId="3" fillId="0" borderId="26" xfId="0" applyNumberFormat="1" applyFont="1" applyBorder="1" applyAlignment="1" applyProtection="1">
      <alignment horizontal="center" vertical="center"/>
      <protection locked="0"/>
    </xf>
    <xf numFmtId="9" fontId="0" fillId="0" borderId="15" xfId="0" applyNumberFormat="1" applyBorder="1" applyAlignment="1" applyProtection="1">
      <alignment horizontal="center" vertical="center"/>
      <protection locked="0"/>
    </xf>
    <xf numFmtId="0" fontId="3" fillId="13" borderId="15" xfId="0" applyFont="1" applyFill="1" applyBorder="1" applyAlignment="1" applyProtection="1">
      <alignment horizontal="center" vertical="center"/>
      <protection locked="0"/>
    </xf>
    <xf numFmtId="0" fontId="0" fillId="13" borderId="12" xfId="0" applyFill="1" applyBorder="1" applyAlignment="1" applyProtection="1">
      <alignment vertical="center"/>
      <protection locked="0"/>
    </xf>
    <xf numFmtId="0" fontId="3" fillId="13" borderId="8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14" borderId="11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13" borderId="31" xfId="0" applyFont="1" applyFill="1" applyBorder="1" applyAlignment="1">
      <alignment horizontal="center" vertical="center"/>
    </xf>
    <xf numFmtId="0" fontId="3" fillId="13" borderId="32" xfId="0" applyFont="1" applyFill="1" applyBorder="1" applyAlignment="1">
      <alignment horizontal="center" vertical="center"/>
    </xf>
    <xf numFmtId="14" fontId="3" fillId="0" borderId="11" xfId="0" applyNumberFormat="1" applyFont="1" applyBorder="1" applyAlignment="1">
      <alignment horizontal="right" vertical="center"/>
    </xf>
    <xf numFmtId="14" fontId="3" fillId="0" borderId="16" xfId="0" applyNumberFormat="1" applyFont="1" applyBorder="1" applyAlignment="1">
      <alignment horizontal="right" vertical="center"/>
    </xf>
    <xf numFmtId="14" fontId="3" fillId="0" borderId="13" xfId="0" applyNumberFormat="1" applyFont="1" applyBorder="1" applyAlignment="1">
      <alignment horizontal="right" vertical="center"/>
    </xf>
    <xf numFmtId="14" fontId="3" fillId="0" borderId="14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12" borderId="13" xfId="0" applyFont="1" applyFill="1" applyBorder="1" applyAlignment="1">
      <alignment horizontal="center" vertical="center"/>
    </xf>
    <xf numFmtId="0" fontId="3" fillId="12" borderId="18" xfId="0" applyFont="1" applyFill="1" applyBorder="1" applyAlignment="1">
      <alignment horizontal="center" vertical="center"/>
    </xf>
    <xf numFmtId="14" fontId="3" fillId="0" borderId="18" xfId="0" applyNumberFormat="1" applyFont="1" applyBorder="1" applyAlignment="1">
      <alignment horizontal="right" vertical="center"/>
    </xf>
    <xf numFmtId="14" fontId="3" fillId="0" borderId="19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3" fillId="0" borderId="43" xfId="0" applyFont="1" applyBorder="1" applyAlignment="1">
      <alignment vertical="center"/>
    </xf>
    <xf numFmtId="0" fontId="3" fillId="0" borderId="34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3" fillId="0" borderId="43" xfId="1" applyFont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2" fillId="15" borderId="1" xfId="0" applyFont="1" applyFill="1" applyBorder="1" applyAlignment="1">
      <alignment horizontal="center" vertical="center"/>
    </xf>
    <xf numFmtId="0" fontId="32" fillId="15" borderId="2" xfId="0" applyFont="1" applyFill="1" applyBorder="1" applyAlignment="1">
      <alignment horizontal="center" vertical="center"/>
    </xf>
    <xf numFmtId="0" fontId="32" fillId="15" borderId="3" xfId="0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3" fillId="14" borderId="1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textRotation="90" wrapText="1"/>
    </xf>
    <xf numFmtId="0" fontId="1" fillId="0" borderId="6" xfId="0" applyFont="1" applyBorder="1" applyAlignment="1">
      <alignment horizontal="center" textRotation="90"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12" fillId="0" borderId="2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2" fillId="10" borderId="2" xfId="0" applyFont="1" applyFill="1" applyBorder="1" applyAlignment="1">
      <alignment horizontal="center" vertical="center"/>
    </xf>
    <xf numFmtId="0" fontId="12" fillId="10" borderId="3" xfId="0" applyFont="1" applyFill="1" applyBorder="1" applyAlignment="1">
      <alignment horizontal="center" vertical="center"/>
    </xf>
    <xf numFmtId="0" fontId="8" fillId="10" borderId="35" xfId="0" applyFont="1" applyFill="1" applyBorder="1" applyAlignment="1">
      <alignment horizontal="left" vertical="center"/>
    </xf>
    <xf numFmtId="0" fontId="8" fillId="10" borderId="36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5" borderId="38" xfId="0" applyFill="1" applyBorder="1" applyAlignment="1">
      <alignment horizontal="left" vertical="top" wrapText="1"/>
    </xf>
    <xf numFmtId="0" fontId="0" fillId="5" borderId="26" xfId="0" applyFill="1" applyBorder="1" applyAlignment="1">
      <alignment horizontal="left" vertical="top" wrapText="1"/>
    </xf>
    <xf numFmtId="0" fontId="0" fillId="5" borderId="27" xfId="0" applyFill="1" applyBorder="1" applyAlignment="1">
      <alignment horizontal="left" vertical="top" wrapText="1"/>
    </xf>
    <xf numFmtId="0" fontId="0" fillId="5" borderId="33" xfId="0" applyFill="1" applyBorder="1" applyAlignment="1">
      <alignment horizontal="left" vertical="top" wrapText="1"/>
    </xf>
    <xf numFmtId="0" fontId="0" fillId="5" borderId="34" xfId="0" applyFill="1" applyBorder="1" applyAlignment="1">
      <alignment horizontal="left" vertical="top" wrapText="1"/>
    </xf>
    <xf numFmtId="0" fontId="0" fillId="5" borderId="30" xfId="0" applyFill="1" applyBorder="1" applyAlignment="1">
      <alignment horizontal="left" vertical="top" wrapText="1"/>
    </xf>
    <xf numFmtId="0" fontId="11" fillId="20" borderId="33" xfId="0" applyFont="1" applyFill="1" applyBorder="1" applyAlignment="1">
      <alignment horizontal="center" vertical="center"/>
    </xf>
    <xf numFmtId="0" fontId="0" fillId="20" borderId="34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</cellXfs>
  <cellStyles count="4">
    <cellStyle name="Euro" xfId="2" xr:uid="{12265762-73DD-4A75-863D-54D236704ECA}"/>
    <cellStyle name="Link" xfId="1" builtinId="8"/>
    <cellStyle name="Prozent" xfId="3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97674cb3e71879f6/Desktop/20220103_Tar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Übersicht"/>
      <sheetName val="Grundlagen (22)"/>
      <sheetName val="Lohnkosten (22"/>
      <sheetName val="Bruttolöhne (22)"/>
      <sheetName val="Grundlagen (23)"/>
      <sheetName val="Lohnkosten (23)"/>
      <sheetName val="Bruttolöhne (23)"/>
      <sheetName val="Grundlagen (24)"/>
      <sheetName val="Lohnkosten (24)"/>
      <sheetName val="Bruttolöhne (24)"/>
      <sheetName val="Indizes"/>
    </sheetNames>
    <sheetDataSet>
      <sheetData sheetId="0"/>
      <sheetData sheetId="1">
        <row r="7">
          <cell r="H7">
            <v>365</v>
          </cell>
        </row>
        <row r="14">
          <cell r="Q14">
            <v>0.19</v>
          </cell>
        </row>
        <row r="16">
          <cell r="C16">
            <v>141</v>
          </cell>
        </row>
        <row r="22">
          <cell r="B22">
            <v>294</v>
          </cell>
        </row>
        <row r="23">
          <cell r="B23">
            <v>480</v>
          </cell>
        </row>
        <row r="24">
          <cell r="B24">
            <v>0</v>
          </cell>
        </row>
      </sheetData>
      <sheetData sheetId="2">
        <row r="37">
          <cell r="H37">
            <v>205.56005766593708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0"/>
  <sheetViews>
    <sheetView tabSelected="1" zoomScaleNormal="100" workbookViewId="0">
      <selection sqref="A1:C1"/>
    </sheetView>
  </sheetViews>
  <sheetFormatPr baseColWidth="10" defaultRowHeight="15" x14ac:dyDescent="0.25"/>
  <cols>
    <col min="1" max="1" width="27" customWidth="1"/>
    <col min="2" max="2" width="10.7109375" customWidth="1"/>
    <col min="3" max="3" width="15.7109375" customWidth="1"/>
    <col min="4" max="4" width="10.7109375" customWidth="1"/>
    <col min="5" max="17" width="8.7109375" customWidth="1"/>
  </cols>
  <sheetData>
    <row r="1" spans="1:24" s="1" customFormat="1" ht="24.95" customHeight="1" thickBot="1" x14ac:dyDescent="0.3">
      <c r="A1" s="245" t="s">
        <v>107</v>
      </c>
      <c r="B1" s="246"/>
      <c r="C1" s="247"/>
      <c r="H1" s="3"/>
    </row>
    <row r="2" spans="1:24" s="1" customFormat="1" ht="24.95" customHeight="1" thickBot="1" x14ac:dyDescent="0.3">
      <c r="A2" s="4"/>
    </row>
    <row r="3" spans="1:24" s="1" customFormat="1" ht="24.95" customHeight="1" thickBot="1" x14ac:dyDescent="0.3">
      <c r="A3" s="5" t="s">
        <v>0</v>
      </c>
      <c r="B3" s="91">
        <f>H7</f>
        <v>365</v>
      </c>
      <c r="D3" s="114">
        <f>(B4+B5+B6+B7+B8)/2+B10+B11+B12+B13</f>
        <v>0.26184599999999997</v>
      </c>
      <c r="F3" s="262" t="s">
        <v>1</v>
      </c>
      <c r="G3" s="263"/>
      <c r="H3" s="94"/>
      <c r="I3" s="6"/>
    </row>
    <row r="4" spans="1:24" s="1" customFormat="1" ht="24.95" customHeight="1" thickBot="1" x14ac:dyDescent="0.3">
      <c r="A4" s="115" t="s">
        <v>89</v>
      </c>
      <c r="B4" s="218">
        <v>0.14599999999999999</v>
      </c>
      <c r="C4" s="106" t="s">
        <v>15</v>
      </c>
      <c r="D4" s="100">
        <f>SUM(B4/2)</f>
        <v>7.2999999999999995E-2</v>
      </c>
      <c r="E4" s="273"/>
      <c r="F4" s="103" t="s">
        <v>2</v>
      </c>
      <c r="G4" s="8" t="s">
        <v>3</v>
      </c>
      <c r="H4" s="8" t="s">
        <v>4</v>
      </c>
      <c r="I4" s="8" t="s">
        <v>5</v>
      </c>
      <c r="J4" s="8" t="s">
        <v>6</v>
      </c>
      <c r="K4" s="8" t="s">
        <v>7</v>
      </c>
      <c r="L4" s="8" t="s">
        <v>8</v>
      </c>
      <c r="M4" s="8" t="s">
        <v>9</v>
      </c>
      <c r="N4" s="8" t="s">
        <v>10</v>
      </c>
      <c r="O4" s="8" t="s">
        <v>11</v>
      </c>
      <c r="P4" s="8" t="s">
        <v>12</v>
      </c>
      <c r="Q4" s="9" t="s">
        <v>13</v>
      </c>
    </row>
    <row r="5" spans="1:24" s="1" customFormat="1" ht="24.95" customHeight="1" thickBot="1" x14ac:dyDescent="0.3">
      <c r="A5" s="116" t="s">
        <v>97</v>
      </c>
      <c r="B5" s="219">
        <v>1.2999999999999999E-2</v>
      </c>
      <c r="C5" s="108" t="s">
        <v>21</v>
      </c>
      <c r="D5" s="101">
        <f>SUM(B5/2)</f>
        <v>6.4999999999999997E-3</v>
      </c>
      <c r="E5" s="274"/>
      <c r="F5" s="249" t="s">
        <v>16</v>
      </c>
      <c r="G5" s="250"/>
      <c r="H5" s="17">
        <f>SUM(F6:Q6)</f>
        <v>249</v>
      </c>
      <c r="I5" s="2"/>
      <c r="J5" s="2"/>
      <c r="K5" s="2"/>
      <c r="L5" s="2"/>
      <c r="M5" s="2"/>
      <c r="N5" s="2"/>
      <c r="O5" s="2"/>
      <c r="P5" s="2"/>
      <c r="Q5" s="2"/>
    </row>
    <row r="6" spans="1:24" s="1" customFormat="1" ht="24.95" customHeight="1" thickBot="1" x14ac:dyDescent="0.3">
      <c r="A6" s="117" t="s">
        <v>17</v>
      </c>
      <c r="B6" s="219">
        <v>0.186</v>
      </c>
      <c r="C6" s="107" t="s">
        <v>15</v>
      </c>
      <c r="D6" s="101">
        <f>SUM(B6/2)</f>
        <v>9.2999999999999999E-2</v>
      </c>
      <c r="E6" s="274"/>
      <c r="F6" s="104">
        <v>21</v>
      </c>
      <c r="G6" s="87">
        <v>20</v>
      </c>
      <c r="H6" s="87">
        <v>23</v>
      </c>
      <c r="I6" s="87">
        <v>18</v>
      </c>
      <c r="J6" s="87">
        <v>20</v>
      </c>
      <c r="K6" s="87">
        <v>21</v>
      </c>
      <c r="L6" s="87">
        <v>21</v>
      </c>
      <c r="M6" s="87">
        <v>23</v>
      </c>
      <c r="N6" s="87">
        <v>21</v>
      </c>
      <c r="O6" s="87">
        <v>21</v>
      </c>
      <c r="P6" s="87">
        <v>21</v>
      </c>
      <c r="Q6" s="88">
        <v>19</v>
      </c>
    </row>
    <row r="7" spans="1:24" s="1" customFormat="1" ht="24.95" customHeight="1" thickBot="1" x14ac:dyDescent="0.3">
      <c r="A7" s="117" t="s">
        <v>18</v>
      </c>
      <c r="B7" s="219">
        <v>2.4E-2</v>
      </c>
      <c r="C7" s="107" t="s">
        <v>15</v>
      </c>
      <c r="D7" s="101">
        <f>SUM(B7/2)</f>
        <v>1.2E-2</v>
      </c>
      <c r="E7" s="274"/>
      <c r="F7" s="255" t="s">
        <v>0</v>
      </c>
      <c r="G7" s="256"/>
      <c r="H7" s="93">
        <f>F8+G8+H8+I8+J8+K8+L8+M8++N8+O8++P8++Q8</f>
        <v>365</v>
      </c>
      <c r="I7" s="257" t="s">
        <v>144</v>
      </c>
      <c r="J7" s="258"/>
      <c r="K7" s="259"/>
      <c r="L7" s="2"/>
      <c r="M7" s="2"/>
      <c r="N7" s="2"/>
      <c r="O7" s="2"/>
      <c r="P7" s="2"/>
      <c r="Q7" s="2"/>
    </row>
    <row r="8" spans="1:24" s="1" customFormat="1" ht="24.95" customHeight="1" thickBot="1" x14ac:dyDescent="0.3">
      <c r="A8" s="116" t="s">
        <v>59</v>
      </c>
      <c r="B8" s="219">
        <v>3.0499999999999999E-2</v>
      </c>
      <c r="C8" s="108" t="s">
        <v>21</v>
      </c>
      <c r="D8" s="101">
        <f>SUM(B8/2)</f>
        <v>1.525E-2</v>
      </c>
      <c r="E8" s="274"/>
      <c r="F8" s="105">
        <v>31</v>
      </c>
      <c r="G8" s="85">
        <v>28</v>
      </c>
      <c r="H8" s="10">
        <v>31</v>
      </c>
      <c r="I8" s="10">
        <v>30</v>
      </c>
      <c r="J8" s="10">
        <v>31</v>
      </c>
      <c r="K8" s="8">
        <v>30</v>
      </c>
      <c r="L8" s="10">
        <v>31</v>
      </c>
      <c r="M8" s="10">
        <v>31</v>
      </c>
      <c r="N8" s="8">
        <v>30</v>
      </c>
      <c r="O8" s="8">
        <v>31</v>
      </c>
      <c r="P8" s="8">
        <v>30</v>
      </c>
      <c r="Q8" s="9">
        <v>31</v>
      </c>
    </row>
    <row r="9" spans="1:24" s="1" customFormat="1" ht="24.95" customHeight="1" thickBot="1" x14ac:dyDescent="0.3">
      <c r="A9" s="116" t="s">
        <v>98</v>
      </c>
      <c r="B9" s="219">
        <v>3.5000000000000001E-3</v>
      </c>
      <c r="C9" s="108" t="s">
        <v>96</v>
      </c>
      <c r="D9" s="101">
        <f>SUM(B9*0)</f>
        <v>0</v>
      </c>
      <c r="E9" s="274"/>
      <c r="F9" s="231" t="s">
        <v>80</v>
      </c>
      <c r="G9" s="232"/>
      <c r="H9" s="232"/>
      <c r="I9" s="264">
        <v>20</v>
      </c>
      <c r="J9" s="265"/>
      <c r="K9" s="228" t="s">
        <v>19</v>
      </c>
      <c r="L9" s="15" t="s">
        <v>104</v>
      </c>
      <c r="M9" s="16" t="s">
        <v>105</v>
      </c>
      <c r="N9" s="2"/>
      <c r="O9" s="2"/>
      <c r="P9" s="2"/>
      <c r="Q9" s="2"/>
    </row>
    <row r="10" spans="1:24" s="1" customFormat="1" ht="24.95" customHeight="1" thickBot="1" x14ac:dyDescent="0.3">
      <c r="A10" s="116" t="s">
        <v>25</v>
      </c>
      <c r="B10" s="219">
        <v>3.1E-2</v>
      </c>
      <c r="C10" s="109" t="s">
        <v>26</v>
      </c>
      <c r="D10" s="101">
        <f>SUM(B10)</f>
        <v>3.1E-2</v>
      </c>
      <c r="E10" s="274"/>
      <c r="F10" s="251" t="s">
        <v>100</v>
      </c>
      <c r="G10" s="252"/>
      <c r="H10" s="252"/>
      <c r="I10" s="233">
        <v>11</v>
      </c>
      <c r="J10" s="234"/>
      <c r="K10" s="229"/>
      <c r="L10" s="89">
        <v>30</v>
      </c>
      <c r="M10" s="90">
        <v>32</v>
      </c>
      <c r="N10" s="231" t="s">
        <v>20</v>
      </c>
      <c r="O10" s="232"/>
      <c r="P10" s="226">
        <v>2</v>
      </c>
      <c r="Q10" s="227"/>
    </row>
    <row r="11" spans="1:24" s="1" customFormat="1" ht="24.95" customHeight="1" thickBot="1" x14ac:dyDescent="0.3">
      <c r="A11" s="117" t="s">
        <v>31</v>
      </c>
      <c r="B11" s="219">
        <v>5.8999999999999999E-3</v>
      </c>
      <c r="C11" s="109" t="s">
        <v>26</v>
      </c>
      <c r="D11" s="101">
        <f>SUM(B11)</f>
        <v>5.8999999999999999E-3</v>
      </c>
      <c r="E11" s="274"/>
      <c r="F11" s="260" t="s">
        <v>22</v>
      </c>
      <c r="G11" s="261"/>
      <c r="H11" s="261"/>
      <c r="I11" s="230" t="s">
        <v>88</v>
      </c>
      <c r="J11" s="230"/>
      <c r="K11" s="235">
        <v>44927</v>
      </c>
      <c r="L11" s="236"/>
      <c r="M11" s="4"/>
      <c r="N11" s="4"/>
      <c r="O11" s="4"/>
      <c r="P11" s="4"/>
      <c r="Q11" s="4"/>
    </row>
    <row r="12" spans="1:24" s="1" customFormat="1" ht="24.95" customHeight="1" x14ac:dyDescent="0.25">
      <c r="A12" s="117" t="s">
        <v>76</v>
      </c>
      <c r="B12" s="219">
        <v>8.9999999999999998E-4</v>
      </c>
      <c r="C12" s="109" t="s">
        <v>26</v>
      </c>
      <c r="D12" s="101">
        <f>SUM(B12)</f>
        <v>8.9999999999999998E-4</v>
      </c>
      <c r="E12" s="275"/>
      <c r="F12" s="253" t="s">
        <v>24</v>
      </c>
      <c r="G12" s="254"/>
      <c r="H12" s="254"/>
      <c r="I12" s="241" t="s">
        <v>28</v>
      </c>
      <c r="J12" s="241"/>
      <c r="K12" s="237">
        <v>44932</v>
      </c>
      <c r="L12" s="238"/>
      <c r="M12" s="120"/>
      <c r="N12" s="14"/>
      <c r="O12" s="283" t="s">
        <v>106</v>
      </c>
      <c r="P12" s="284"/>
      <c r="Q12" s="225">
        <v>38.5</v>
      </c>
    </row>
    <row r="13" spans="1:24" s="1" customFormat="1" ht="24.95" customHeight="1" thickBot="1" x14ac:dyDescent="0.3">
      <c r="A13" s="97" t="s">
        <v>78</v>
      </c>
      <c r="B13" s="220">
        <v>2.4296000000000002E-2</v>
      </c>
      <c r="C13" s="110" t="s">
        <v>26</v>
      </c>
      <c r="D13" s="102">
        <f>SUM(B13)</f>
        <v>2.4296000000000002E-2</v>
      </c>
      <c r="E13" s="275"/>
      <c r="F13" s="248" t="s">
        <v>27</v>
      </c>
      <c r="G13" s="240"/>
      <c r="H13" s="240"/>
      <c r="I13" s="241" t="s">
        <v>28</v>
      </c>
      <c r="J13" s="241"/>
      <c r="K13" s="237">
        <v>45023</v>
      </c>
      <c r="L13" s="238"/>
      <c r="M13" s="120"/>
      <c r="N13" s="4"/>
      <c r="O13" s="288" t="s">
        <v>42</v>
      </c>
      <c r="P13" s="289"/>
      <c r="Q13" s="125">
        <v>3.6999999999999998E-2</v>
      </c>
      <c r="R13" s="94"/>
      <c r="T13" s="23"/>
      <c r="U13" s="23"/>
    </row>
    <row r="14" spans="1:24" s="1" customFormat="1" ht="24.95" customHeight="1" thickBot="1" x14ac:dyDescent="0.3">
      <c r="A14" s="270" t="s">
        <v>102</v>
      </c>
      <c r="B14" s="271"/>
      <c r="C14" s="119" t="s">
        <v>101</v>
      </c>
      <c r="D14" s="118">
        <f>SUM(D4:D13)</f>
        <v>0.26184599999999997</v>
      </c>
      <c r="E14" s="276"/>
      <c r="F14" s="248" t="s">
        <v>29</v>
      </c>
      <c r="G14" s="240"/>
      <c r="H14" s="240"/>
      <c r="I14" s="241" t="s">
        <v>30</v>
      </c>
      <c r="J14" s="241"/>
      <c r="K14" s="237">
        <v>45026</v>
      </c>
      <c r="L14" s="238"/>
      <c r="M14" s="120"/>
      <c r="O14" s="290" t="s">
        <v>66</v>
      </c>
      <c r="P14" s="291"/>
      <c r="Q14" s="126">
        <v>0.19</v>
      </c>
      <c r="R14" s="27"/>
    </row>
    <row r="15" spans="1:24" s="1" customFormat="1" ht="24.95" customHeight="1" thickBot="1" x14ac:dyDescent="0.3">
      <c r="A15" s="113" t="s">
        <v>103</v>
      </c>
      <c r="F15" s="239" t="s">
        <v>32</v>
      </c>
      <c r="G15" s="240"/>
      <c r="H15" s="240"/>
      <c r="I15" s="272" t="s">
        <v>30</v>
      </c>
      <c r="J15" s="272"/>
      <c r="K15" s="237">
        <v>45047</v>
      </c>
      <c r="L15" s="238"/>
      <c r="S15" s="23"/>
      <c r="T15" s="23"/>
      <c r="U15" s="23"/>
      <c r="V15" s="23"/>
      <c r="W15" s="23"/>
      <c r="X15" s="23"/>
    </row>
    <row r="16" spans="1:24" s="1" customFormat="1" ht="24.95" customHeight="1" thickBot="1" x14ac:dyDescent="0.3">
      <c r="A16" s="7" t="s">
        <v>40</v>
      </c>
      <c r="B16" s="221">
        <v>7300</v>
      </c>
      <c r="C16" s="222">
        <f>SUM(B16*D16)</f>
        <v>146</v>
      </c>
      <c r="D16" s="223">
        <v>0.02</v>
      </c>
      <c r="F16" s="239" t="s">
        <v>33</v>
      </c>
      <c r="G16" s="240"/>
      <c r="H16" s="240"/>
      <c r="I16" s="241" t="s">
        <v>23</v>
      </c>
      <c r="J16" s="241"/>
      <c r="K16" s="237">
        <v>45064</v>
      </c>
      <c r="L16" s="238"/>
      <c r="S16" s="23"/>
      <c r="T16" s="23"/>
      <c r="U16" s="23"/>
      <c r="V16" s="23"/>
      <c r="W16" s="23"/>
      <c r="X16" s="23"/>
    </row>
    <row r="17" spans="1:17" s="1" customFormat="1" ht="24.95" customHeight="1" thickBot="1" x14ac:dyDescent="0.3">
      <c r="A17" s="285" t="s">
        <v>79</v>
      </c>
      <c r="B17" s="286"/>
      <c r="C17" s="287"/>
      <c r="D17" s="21">
        <f>SUM(I10+I9+D20)</f>
        <v>31</v>
      </c>
      <c r="F17" s="239" t="s">
        <v>34</v>
      </c>
      <c r="G17" s="240"/>
      <c r="H17" s="240"/>
      <c r="I17" s="241" t="s">
        <v>30</v>
      </c>
      <c r="J17" s="241"/>
      <c r="K17" s="237">
        <v>45075</v>
      </c>
      <c r="L17" s="238"/>
    </row>
    <row r="18" spans="1:17" s="1" customFormat="1" ht="24.95" customHeight="1" thickBot="1" x14ac:dyDescent="0.3">
      <c r="A18" s="268" t="s">
        <v>67</v>
      </c>
      <c r="B18" s="249"/>
      <c r="C18" s="250"/>
      <c r="D18" s="20">
        <f>SUM(I10+L10+P10+D20)</f>
        <v>43</v>
      </c>
      <c r="F18" s="239" t="s">
        <v>35</v>
      </c>
      <c r="G18" s="240"/>
      <c r="H18" s="240"/>
      <c r="I18" s="241" t="s">
        <v>23</v>
      </c>
      <c r="J18" s="241"/>
      <c r="K18" s="237">
        <v>45085</v>
      </c>
      <c r="L18" s="238"/>
      <c r="N18" s="22"/>
      <c r="O18" s="22"/>
      <c r="P18" s="22"/>
      <c r="Q18" s="22"/>
    </row>
    <row r="19" spans="1:17" s="1" customFormat="1" ht="24.95" customHeight="1" thickBot="1" x14ac:dyDescent="0.3">
      <c r="A19" s="269" t="s">
        <v>68</v>
      </c>
      <c r="B19" s="255"/>
      <c r="C19" s="256"/>
      <c r="D19" s="13">
        <f>SUM(I10+M10+P10+D20)</f>
        <v>45</v>
      </c>
      <c r="F19" s="239" t="s">
        <v>36</v>
      </c>
      <c r="G19" s="240"/>
      <c r="H19" s="240"/>
      <c r="I19" s="241" t="s">
        <v>99</v>
      </c>
      <c r="J19" s="241"/>
      <c r="K19" s="237">
        <v>45202</v>
      </c>
      <c r="L19" s="238"/>
    </row>
    <row r="20" spans="1:17" s="1" customFormat="1" ht="24.95" customHeight="1" thickBot="1" x14ac:dyDescent="0.3">
      <c r="A20" s="269" t="s">
        <v>38</v>
      </c>
      <c r="B20" s="255"/>
      <c r="C20" s="256"/>
      <c r="D20" s="224">
        <v>0</v>
      </c>
      <c r="F20" s="239" t="s">
        <v>37</v>
      </c>
      <c r="G20" s="240"/>
      <c r="H20" s="240"/>
      <c r="I20" s="241" t="s">
        <v>108</v>
      </c>
      <c r="J20" s="241"/>
      <c r="K20" s="237">
        <v>45231</v>
      </c>
      <c r="L20" s="238"/>
    </row>
    <row r="21" spans="1:17" s="1" customFormat="1" ht="24.95" customHeight="1" thickBot="1" x14ac:dyDescent="0.3">
      <c r="F21" s="239" t="s">
        <v>39</v>
      </c>
      <c r="G21" s="240"/>
      <c r="H21" s="240"/>
      <c r="I21" s="272" t="s">
        <v>30</v>
      </c>
      <c r="J21" s="272"/>
      <c r="K21" s="237">
        <v>45285</v>
      </c>
      <c r="L21" s="238"/>
    </row>
    <row r="22" spans="1:17" s="1" customFormat="1" ht="24.95" customHeight="1" thickBot="1" x14ac:dyDescent="0.3">
      <c r="A22" s="11" t="s">
        <v>53</v>
      </c>
      <c r="B22" s="127">
        <v>294</v>
      </c>
      <c r="F22" s="292" t="s">
        <v>41</v>
      </c>
      <c r="G22" s="293"/>
      <c r="H22" s="293"/>
      <c r="I22" s="242" t="s">
        <v>99</v>
      </c>
      <c r="J22" s="242"/>
      <c r="K22" s="243">
        <v>45286</v>
      </c>
      <c r="L22" s="244"/>
    </row>
    <row r="23" spans="1:17" s="1" customFormat="1" ht="24.95" customHeight="1" thickBot="1" x14ac:dyDescent="0.3">
      <c r="A23" s="18" t="s">
        <v>54</v>
      </c>
      <c r="B23" s="123">
        <v>480</v>
      </c>
    </row>
    <row r="24" spans="1:17" s="1" customFormat="1" ht="24.95" customHeight="1" thickBot="1" x14ac:dyDescent="0.3">
      <c r="A24" s="12" t="s">
        <v>70</v>
      </c>
      <c r="B24" s="124">
        <v>0</v>
      </c>
      <c r="F24" s="266" t="s">
        <v>65</v>
      </c>
      <c r="G24" s="267"/>
      <c r="H24" s="98" t="s">
        <v>44</v>
      </c>
      <c r="I24" s="98" t="s">
        <v>45</v>
      </c>
      <c r="J24" s="98" t="s">
        <v>46</v>
      </c>
      <c r="K24" s="98" t="s">
        <v>47</v>
      </c>
      <c r="L24" s="98" t="s">
        <v>48</v>
      </c>
      <c r="M24" s="95" t="s">
        <v>94</v>
      </c>
      <c r="N24" s="96" t="s">
        <v>77</v>
      </c>
      <c r="O24" s="111"/>
    </row>
    <row r="25" spans="1:17" s="1" customFormat="1" ht="24.95" customHeight="1" thickBot="1" x14ac:dyDescent="0.3">
      <c r="F25" s="277" t="s">
        <v>109</v>
      </c>
      <c r="G25" s="278"/>
      <c r="H25" s="121">
        <v>14.93</v>
      </c>
      <c r="I25" s="121">
        <v>17.46</v>
      </c>
      <c r="J25" s="121">
        <v>19.41</v>
      </c>
      <c r="K25" s="121">
        <v>20.34</v>
      </c>
      <c r="L25" s="121">
        <v>20.9</v>
      </c>
      <c r="M25" s="121">
        <v>21.18</v>
      </c>
      <c r="N25" s="122">
        <v>14.2</v>
      </c>
    </row>
    <row r="26" spans="1:17" s="1" customFormat="1" ht="24.95" customHeight="1" thickBot="1" x14ac:dyDescent="0.3">
      <c r="F26" s="277" t="s">
        <v>110</v>
      </c>
      <c r="G26" s="278"/>
      <c r="H26" s="121">
        <v>15.74</v>
      </c>
      <c r="I26" s="121">
        <v>18.399999999999999</v>
      </c>
      <c r="J26" s="121">
        <v>20.46</v>
      </c>
      <c r="K26" s="121">
        <v>21.44</v>
      </c>
      <c r="L26" s="121">
        <v>22.03</v>
      </c>
      <c r="M26" s="121">
        <v>22.45</v>
      </c>
      <c r="N26" s="122">
        <v>14.2</v>
      </c>
    </row>
    <row r="27" spans="1:17" s="1" customFormat="1" ht="24.95" customHeight="1" x14ac:dyDescent="0.25">
      <c r="F27" s="279" t="s">
        <v>111</v>
      </c>
      <c r="G27" s="280"/>
      <c r="H27" s="128">
        <v>15.61</v>
      </c>
      <c r="I27" s="128">
        <v>18.239999999999998</v>
      </c>
      <c r="J27" s="128">
        <v>20.29</v>
      </c>
      <c r="K27" s="128">
        <v>21.26</v>
      </c>
      <c r="L27" s="128">
        <v>21.84</v>
      </c>
      <c r="M27" s="128">
        <v>22.24</v>
      </c>
      <c r="N27" s="129">
        <v>14.2</v>
      </c>
    </row>
    <row r="28" spans="1:17" s="1" customFormat="1" ht="24.95" customHeight="1" thickBot="1" x14ac:dyDescent="0.3">
      <c r="F28" s="281" t="s">
        <v>112</v>
      </c>
      <c r="G28" s="282"/>
      <c r="H28" s="196">
        <v>1000</v>
      </c>
      <c r="I28" s="196">
        <v>1000</v>
      </c>
      <c r="J28" s="196">
        <v>1000</v>
      </c>
      <c r="K28" s="196">
        <v>1000</v>
      </c>
      <c r="L28" s="196">
        <v>1000</v>
      </c>
      <c r="M28" s="196">
        <v>1000</v>
      </c>
      <c r="N28" s="197">
        <v>0</v>
      </c>
    </row>
    <row r="29" spans="1:17" s="1" customFormat="1" ht="24.95" customHeight="1" x14ac:dyDescent="0.25">
      <c r="H29" s="86"/>
    </row>
    <row r="30" spans="1:17" s="1" customFormat="1" ht="24.95" customHeight="1" x14ac:dyDescent="0.25">
      <c r="H30" s="86"/>
    </row>
    <row r="31" spans="1:17" s="1" customFormat="1" ht="24.95" customHeight="1" x14ac:dyDescent="0.25">
      <c r="H31" s="86"/>
    </row>
    <row r="32" spans="1:17" s="1" customFormat="1" ht="24.95" customHeight="1" x14ac:dyDescent="0.25"/>
    <row r="33" spans="1:17" s="1" customFormat="1" ht="24.95" customHeight="1" x14ac:dyDescent="0.25"/>
    <row r="34" spans="1:17" s="1" customFormat="1" ht="24.95" customHeight="1" x14ac:dyDescent="0.25"/>
    <row r="35" spans="1:17" s="1" customFormat="1" ht="24.95" customHeight="1" x14ac:dyDescent="0.25"/>
    <row r="36" spans="1:17" s="1" customFormat="1" ht="24.95" customHeight="1" x14ac:dyDescent="0.25"/>
    <row r="37" spans="1:17" s="1" customFormat="1" ht="24.95" customHeight="1" x14ac:dyDescent="0.25"/>
    <row r="38" spans="1:17" s="1" customFormat="1" ht="24.95" customHeight="1" x14ac:dyDescent="0.25"/>
    <row r="39" spans="1:17" s="1" customFormat="1" ht="24.95" customHeight="1" x14ac:dyDescent="0.25"/>
    <row r="40" spans="1:17" s="1" customFormat="1" ht="24.95" customHeight="1" x14ac:dyDescent="0.25"/>
    <row r="41" spans="1:17" s="1" customFormat="1" ht="24.95" customHeight="1" x14ac:dyDescent="0.25">
      <c r="N41"/>
      <c r="O41"/>
      <c r="P41"/>
      <c r="Q41"/>
    </row>
    <row r="42" spans="1:17" s="1" customFormat="1" ht="24.95" customHeight="1" x14ac:dyDescent="0.25">
      <c r="N42"/>
      <c r="O42"/>
      <c r="P42"/>
      <c r="Q42"/>
    </row>
    <row r="43" spans="1:17" s="1" customFormat="1" ht="24.95" customHeight="1" x14ac:dyDescent="0.25">
      <c r="A43"/>
      <c r="B43"/>
      <c r="C43"/>
      <c r="N43"/>
      <c r="O43"/>
      <c r="P43"/>
      <c r="Q43"/>
    </row>
    <row r="44" spans="1:17" s="1" customFormat="1" ht="24.95" customHeight="1" x14ac:dyDescent="0.25">
      <c r="A44"/>
      <c r="B44"/>
      <c r="C44"/>
      <c r="D44"/>
      <c r="N44"/>
      <c r="O44"/>
      <c r="P44"/>
      <c r="Q44"/>
    </row>
    <row r="45" spans="1:17" s="1" customFormat="1" ht="24.95" customHeight="1" x14ac:dyDescent="0.25">
      <c r="A45"/>
      <c r="B45"/>
      <c r="C45"/>
      <c r="D45"/>
      <c r="N45"/>
      <c r="O45"/>
      <c r="P45"/>
      <c r="Q45"/>
    </row>
    <row r="46" spans="1:17" s="1" customFormat="1" ht="24.95" customHeight="1" x14ac:dyDescent="0.25">
      <c r="A46"/>
      <c r="B46"/>
      <c r="C46"/>
      <c r="D46"/>
      <c r="N46"/>
      <c r="O46"/>
      <c r="P46"/>
      <c r="Q46"/>
    </row>
    <row r="47" spans="1:17" s="1" customFormat="1" ht="24.95" customHeight="1" x14ac:dyDescent="0.25">
      <c r="A47"/>
      <c r="B47"/>
      <c r="C47"/>
      <c r="D47"/>
      <c r="N47"/>
      <c r="O47"/>
      <c r="P47"/>
      <c r="Q47"/>
    </row>
    <row r="48" spans="1:17" s="1" customFormat="1" ht="24.95" customHeight="1" x14ac:dyDescent="0.25">
      <c r="A48"/>
      <c r="B48"/>
      <c r="C48"/>
      <c r="D48"/>
      <c r="N48"/>
      <c r="O48"/>
      <c r="P48"/>
      <c r="Q48"/>
    </row>
    <row r="49" spans="1:17" s="1" customFormat="1" ht="24.95" customHeight="1" x14ac:dyDescent="0.25">
      <c r="A49"/>
      <c r="B49"/>
      <c r="C49"/>
      <c r="D49"/>
      <c r="N49"/>
      <c r="O49"/>
      <c r="P49"/>
      <c r="Q49"/>
    </row>
    <row r="50" spans="1:17" s="1" customFormat="1" ht="24.95" customHeight="1" x14ac:dyDescent="0.25">
      <c r="A50"/>
      <c r="B50"/>
      <c r="C50"/>
      <c r="D50"/>
      <c r="F50"/>
      <c r="G50"/>
      <c r="H50"/>
      <c r="I50"/>
      <c r="J50"/>
      <c r="K50"/>
      <c r="L50"/>
      <c r="M50"/>
      <c r="N50"/>
      <c r="O50"/>
      <c r="P50"/>
      <c r="Q50"/>
    </row>
  </sheetData>
  <sheetProtection algorithmName="SHA-512" hashValue="xxJW/2dQIa6Ofv3EgweDka1dDT8hbNQUulME+5JB8pmEltR/VPJ96BbuV1+Z8Q1C8g8TOyIUYCiyuhL4sc0kEA==" saltValue="3k+BrAmdfYgkKXtIfVbxMA==" spinCount="100000" sheet="1" objects="1" scenarios="1"/>
  <protectedRanges>
    <protectedRange sqref="R14" name="Bereich6"/>
    <protectedRange sqref="B23:B24" name="Bereich4"/>
    <protectedRange sqref="R13" name="Bereich7"/>
    <protectedRange sqref="N25:N27" name="Bereich5_2_1"/>
    <protectedRange sqref="I10:J10" name="Bereich10_1"/>
    <protectedRange sqref="P10:Q10" name="Bereich8_1"/>
    <protectedRange sqref="Q14" name="Bereich6_2"/>
    <protectedRange sqref="B22" name="Bereich4_1"/>
    <protectedRange sqref="B16" name="Bereich2_1"/>
    <protectedRange sqref="B4:B13" name="Bereich1_1"/>
    <protectedRange sqref="D20" name="Bereich3_1"/>
    <protectedRange sqref="Q13" name="Bereich7_1"/>
    <protectedRange sqref="L10:M10" name="Bereich9_1"/>
    <protectedRange sqref="G8" name="Bereich11_1"/>
    <protectedRange sqref="F6:Q6" name="Bereich5_1_1"/>
    <protectedRange sqref="I11:L22 M12:M14" name="Bereich6_1_1"/>
  </protectedRanges>
  <customSheetViews>
    <customSheetView guid="{8DF5D7FA-E457-40BC-86A9-0D5010326E28}" scale="110" topLeftCell="A10">
      <selection activeCell="D17" sqref="D17"/>
      <pageMargins left="0.7" right="0.7" top="0.78740157499999996" bottom="0.78740157499999996" header="0.3" footer="0.3"/>
      <pageSetup paperSize="9" orientation="portrait" r:id="rId1"/>
    </customSheetView>
  </customSheetViews>
  <mergeCells count="62">
    <mergeCell ref="F26:G26"/>
    <mergeCell ref="F27:G27"/>
    <mergeCell ref="F28:G28"/>
    <mergeCell ref="O12:P12"/>
    <mergeCell ref="A17:C17"/>
    <mergeCell ref="O13:P13"/>
    <mergeCell ref="K16:L16"/>
    <mergeCell ref="F25:G25"/>
    <mergeCell ref="I14:J14"/>
    <mergeCell ref="K14:L14"/>
    <mergeCell ref="F16:H16"/>
    <mergeCell ref="I16:J16"/>
    <mergeCell ref="O14:P14"/>
    <mergeCell ref="K15:L15"/>
    <mergeCell ref="K21:L21"/>
    <mergeCell ref="F22:H22"/>
    <mergeCell ref="A14:B14"/>
    <mergeCell ref="F15:H15"/>
    <mergeCell ref="I15:J15"/>
    <mergeCell ref="F21:H21"/>
    <mergeCell ref="I21:J21"/>
    <mergeCell ref="E4:E14"/>
    <mergeCell ref="F14:H14"/>
    <mergeCell ref="F24:G24"/>
    <mergeCell ref="A18:C18"/>
    <mergeCell ref="A19:C19"/>
    <mergeCell ref="A20:C20"/>
    <mergeCell ref="F19:H19"/>
    <mergeCell ref="A1:C1"/>
    <mergeCell ref="F13:H13"/>
    <mergeCell ref="I13:J13"/>
    <mergeCell ref="F5:G5"/>
    <mergeCell ref="F10:H10"/>
    <mergeCell ref="F12:H12"/>
    <mergeCell ref="I12:J12"/>
    <mergeCell ref="F7:G7"/>
    <mergeCell ref="I7:K7"/>
    <mergeCell ref="K12:L12"/>
    <mergeCell ref="F11:H11"/>
    <mergeCell ref="F3:G3"/>
    <mergeCell ref="K13:L13"/>
    <mergeCell ref="F9:H9"/>
    <mergeCell ref="I9:J9"/>
    <mergeCell ref="I22:J22"/>
    <mergeCell ref="K22:L22"/>
    <mergeCell ref="K19:L19"/>
    <mergeCell ref="F20:H20"/>
    <mergeCell ref="I20:J20"/>
    <mergeCell ref="K20:L20"/>
    <mergeCell ref="I19:J19"/>
    <mergeCell ref="K17:L17"/>
    <mergeCell ref="F18:H18"/>
    <mergeCell ref="I18:J18"/>
    <mergeCell ref="K18:L18"/>
    <mergeCell ref="F17:H17"/>
    <mergeCell ref="I17:J17"/>
    <mergeCell ref="P10:Q10"/>
    <mergeCell ref="K9:K10"/>
    <mergeCell ref="I11:J11"/>
    <mergeCell ref="N10:O10"/>
    <mergeCell ref="I10:J10"/>
    <mergeCell ref="K11:L11"/>
  </mergeCells>
  <pageMargins left="0.7" right="0.7" top="0.78740157499999996" bottom="0.78740157499999996" header="0.3" footer="0.3"/>
  <pageSetup paperSize="9" scale="7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49F9A-3B2C-466E-96A6-0E29938D5B46}">
  <sheetPr>
    <pageSetUpPr fitToPage="1"/>
  </sheetPr>
  <dimension ref="A1:O39"/>
  <sheetViews>
    <sheetView zoomScaleNormal="100" workbookViewId="0"/>
  </sheetViews>
  <sheetFormatPr baseColWidth="10" defaultRowHeight="15" x14ac:dyDescent="0.25"/>
  <cols>
    <col min="1" max="1" width="30.42578125" customWidth="1"/>
  </cols>
  <sheetData>
    <row r="1" spans="1:15" ht="20.100000000000001" customHeight="1" thickBot="1" x14ac:dyDescent="0.3">
      <c r="A1" s="74" t="s">
        <v>113</v>
      </c>
      <c r="B1" s="19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ht="20.100000000000001" customHeight="1" thickBot="1" x14ac:dyDescent="0.3">
      <c r="A2" s="24" t="s">
        <v>81</v>
      </c>
      <c r="B2" s="19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ht="20.100000000000001" customHeight="1" x14ac:dyDescent="0.25">
      <c r="A3" s="72" t="s">
        <v>43</v>
      </c>
      <c r="B3" s="73" t="s">
        <v>44</v>
      </c>
      <c r="C3" s="73" t="s">
        <v>45</v>
      </c>
      <c r="D3" s="73" t="s">
        <v>46</v>
      </c>
      <c r="E3" s="73" t="s">
        <v>47</v>
      </c>
      <c r="F3" s="73" t="s">
        <v>48</v>
      </c>
      <c r="G3" s="73" t="s">
        <v>94</v>
      </c>
      <c r="H3" s="82" t="s">
        <v>77</v>
      </c>
      <c r="I3" s="1"/>
      <c r="J3" s="1"/>
      <c r="K3" s="1"/>
      <c r="L3" s="1"/>
    </row>
    <row r="4" spans="1:15" s="1" customFormat="1" ht="20.100000000000001" customHeight="1" x14ac:dyDescent="0.25">
      <c r="A4" s="28" t="s">
        <v>49</v>
      </c>
      <c r="B4" s="29">
        <f>'Grundlagen der Berechnung'!H25</f>
        <v>14.93</v>
      </c>
      <c r="C4" s="29">
        <f>'Grundlagen der Berechnung'!I25</f>
        <v>17.46</v>
      </c>
      <c r="D4" s="29">
        <f>'Grundlagen der Berechnung'!J25</f>
        <v>19.41</v>
      </c>
      <c r="E4" s="29">
        <f>'Grundlagen der Berechnung'!K25</f>
        <v>20.34</v>
      </c>
      <c r="F4" s="29">
        <f>'Grundlagen der Berechnung'!L25</f>
        <v>20.9</v>
      </c>
      <c r="G4" s="29">
        <f>'Grundlagen der Berechnung'!M25</f>
        <v>21.18</v>
      </c>
      <c r="H4" s="29">
        <f>'Grundlagen der Berechnung'!N25</f>
        <v>14.2</v>
      </c>
    </row>
    <row r="5" spans="1:15" s="1" customFormat="1" ht="20.100000000000001" customHeight="1" x14ac:dyDescent="0.25">
      <c r="A5" s="28" t="s">
        <v>50</v>
      </c>
      <c r="B5" s="29">
        <f>B4*'Grundlagen der Berechnung'!Q12/7*'Grundlagen der Berechnung'!H7/12</f>
        <v>2497.6645833333332</v>
      </c>
      <c r="C5" s="29">
        <f>C4*'Grundlagen der Berechnung'!Q12/7*'Grundlagen der Berechnung'!H7/12</f>
        <v>2920.9124999999999</v>
      </c>
      <c r="D5" s="29">
        <f>D4*'Grundlagen der Berechnung'!Q12/7*'Grundlagen der Berechnung'!H7/12</f>
        <v>3247.1312499999999</v>
      </c>
      <c r="E5" s="29">
        <f>E4*'Grundlagen der Berechnung'!Q12/7*'Grundlagen der Berechnung'!H7/12</f>
        <v>3402.7125000000001</v>
      </c>
      <c r="F5" s="29">
        <f>F4*'Grundlagen der Berechnung'!Q12/7*'Grundlagen der Berechnung'!H7/12</f>
        <v>3496.3958333333335</v>
      </c>
      <c r="G5" s="29">
        <f>G4*'Grundlagen der Berechnung'!Q12/7*'Grundlagen der Berechnung'!H7/12</f>
        <v>3543.2374999999997</v>
      </c>
      <c r="H5" s="30">
        <f>H4*'Grundlagen der Berechnung'!Q12/7*'Grundlagen der Berechnung'!H7/12</f>
        <v>2375.5416666666665</v>
      </c>
      <c r="J5" s="23"/>
      <c r="K5" s="23"/>
      <c r="L5" s="23"/>
      <c r="M5" s="23"/>
      <c r="N5" s="23"/>
      <c r="O5" s="23"/>
    </row>
    <row r="6" spans="1:15" s="1" customFormat="1" ht="20.100000000000001" customHeight="1" x14ac:dyDescent="0.25">
      <c r="A6" s="28" t="s">
        <v>51</v>
      </c>
      <c r="B6" s="29">
        <f>B4*'Grundlagen der Berechnung'!Q12/7*'Grundlagen der Berechnung'!H7</f>
        <v>29971.974999999999</v>
      </c>
      <c r="C6" s="29">
        <f>C4*'Grundlagen der Berechnung'!Q12/7*'Grundlagen der Berechnung'!H7</f>
        <v>35050.949999999997</v>
      </c>
      <c r="D6" s="29">
        <f>D4*'Grundlagen der Berechnung'!Q12/7*'Grundlagen der Berechnung'!H7</f>
        <v>38965.574999999997</v>
      </c>
      <c r="E6" s="29">
        <f>E4*'Grundlagen der Berechnung'!Q12/7*'Grundlagen der Berechnung'!H7</f>
        <v>40832.550000000003</v>
      </c>
      <c r="F6" s="29">
        <f>F4*'Grundlagen der Berechnung'!Q12/7*'Grundlagen der Berechnung'!H7</f>
        <v>41956.75</v>
      </c>
      <c r="G6" s="29">
        <f>G4*'Grundlagen der Berechnung'!Q12/7*'Grundlagen der Berechnung'!H7</f>
        <v>42518.85</v>
      </c>
      <c r="H6" s="30">
        <f>H4*'Grundlagen der Berechnung'!Q12/7*'Grundlagen der Berechnung'!H7</f>
        <v>28506.499999999996</v>
      </c>
      <c r="J6" s="112"/>
      <c r="K6" s="112"/>
      <c r="L6" s="112"/>
      <c r="M6" s="112"/>
      <c r="N6" s="112"/>
      <c r="O6" s="112"/>
    </row>
    <row r="7" spans="1:15" s="1" customFormat="1" ht="20.100000000000001" customHeight="1" x14ac:dyDescent="0.25">
      <c r="A7" s="28" t="s">
        <v>52</v>
      </c>
      <c r="B7" s="29">
        <f t="shared" ref="B7:G7" si="0">B5*0.75</f>
        <v>1873.2484374999999</v>
      </c>
      <c r="C7" s="29">
        <f t="shared" si="0"/>
        <v>2190.6843749999998</v>
      </c>
      <c r="D7" s="29">
        <f t="shared" si="0"/>
        <v>2435.3484374999998</v>
      </c>
      <c r="E7" s="29">
        <f t="shared" si="0"/>
        <v>2552.0343750000002</v>
      </c>
      <c r="F7" s="31">
        <f t="shared" si="0"/>
        <v>2622.296875</v>
      </c>
      <c r="G7" s="29">
        <f t="shared" si="0"/>
        <v>2657.4281249999999</v>
      </c>
      <c r="H7" s="30">
        <f>H5*0</f>
        <v>0</v>
      </c>
      <c r="J7" s="99"/>
      <c r="K7" s="23"/>
      <c r="L7" s="23"/>
    </row>
    <row r="8" spans="1:15" s="1" customFormat="1" ht="20.100000000000001" customHeight="1" x14ac:dyDescent="0.25">
      <c r="A8" s="28" t="s">
        <v>73</v>
      </c>
      <c r="B8" s="29">
        <f>'Grundlagen der Berechnung'!C16*12</f>
        <v>1752</v>
      </c>
      <c r="C8" s="29">
        <f>'Grundlagen der Berechnung'!C16*12</f>
        <v>1752</v>
      </c>
      <c r="D8" s="29">
        <f>'Grundlagen der Berechnung'!C16*12</f>
        <v>1752</v>
      </c>
      <c r="E8" s="29">
        <f>'Grundlagen der Berechnung'!C16*12</f>
        <v>1752</v>
      </c>
      <c r="F8" s="29">
        <f>'Grundlagen der Berechnung'!C16*12</f>
        <v>1752</v>
      </c>
      <c r="G8" s="29">
        <f>'Grundlagen der Berechnung'!C16*12</f>
        <v>1752</v>
      </c>
      <c r="H8" s="30">
        <f>'[1]Grundlagen (22)'!C16*12*0</f>
        <v>0</v>
      </c>
      <c r="J8" s="25"/>
      <c r="K8" s="23"/>
      <c r="L8" s="23"/>
    </row>
    <row r="9" spans="1:15" s="1" customFormat="1" ht="20.100000000000001" customHeight="1" x14ac:dyDescent="0.25">
      <c r="A9" s="28" t="s">
        <v>74</v>
      </c>
      <c r="B9" s="29">
        <f>'Grundlagen der Berechnung'!B22</f>
        <v>294</v>
      </c>
      <c r="C9" s="29">
        <f>'Grundlagen der Berechnung'!B22</f>
        <v>294</v>
      </c>
      <c r="D9" s="29">
        <f>'Grundlagen der Berechnung'!B22</f>
        <v>294</v>
      </c>
      <c r="E9" s="29">
        <f>'Grundlagen der Berechnung'!B22</f>
        <v>294</v>
      </c>
      <c r="F9" s="29">
        <f>'Grundlagen der Berechnung'!B22</f>
        <v>294</v>
      </c>
      <c r="G9" s="29">
        <f>'Grundlagen der Berechnung'!B22</f>
        <v>294</v>
      </c>
      <c r="H9" s="30">
        <f>'[1]Grundlagen (22)'!B22*0</f>
        <v>0</v>
      </c>
    </row>
    <row r="10" spans="1:15" s="1" customFormat="1" ht="20.100000000000001" customHeight="1" x14ac:dyDescent="0.25">
      <c r="A10" s="28" t="s">
        <v>54</v>
      </c>
      <c r="B10" s="29">
        <f>'Grundlagen der Berechnung'!B23</f>
        <v>480</v>
      </c>
      <c r="C10" s="29">
        <f>'Grundlagen der Berechnung'!B23</f>
        <v>480</v>
      </c>
      <c r="D10" s="29">
        <f>'Grundlagen der Berechnung'!B23</f>
        <v>480</v>
      </c>
      <c r="E10" s="29">
        <f>'Grundlagen der Berechnung'!B23</f>
        <v>480</v>
      </c>
      <c r="F10" s="29">
        <f>'Grundlagen der Berechnung'!B23</f>
        <v>480</v>
      </c>
      <c r="G10" s="29">
        <f>'Grundlagen der Berechnung'!B23</f>
        <v>480</v>
      </c>
      <c r="H10" s="30">
        <f>'[1]Grundlagen (22)'!B23*0</f>
        <v>0</v>
      </c>
    </row>
    <row r="11" spans="1:15" s="1" customFormat="1" ht="20.100000000000001" customHeight="1" x14ac:dyDescent="0.25">
      <c r="A11" s="28" t="s">
        <v>69</v>
      </c>
      <c r="B11" s="29">
        <f>'Grundlagen der Berechnung'!B24</f>
        <v>0</v>
      </c>
      <c r="C11" s="29">
        <f>'Grundlagen der Berechnung'!B24</f>
        <v>0</v>
      </c>
      <c r="D11" s="29">
        <f>'Grundlagen der Berechnung'!B24</f>
        <v>0</v>
      </c>
      <c r="E11" s="29">
        <f>'Grundlagen der Berechnung'!B24</f>
        <v>0</v>
      </c>
      <c r="F11" s="29">
        <f>'Grundlagen der Berechnung'!B24</f>
        <v>0</v>
      </c>
      <c r="G11" s="29">
        <f>'Grundlagen der Berechnung'!B24</f>
        <v>0</v>
      </c>
      <c r="H11" s="30">
        <f>'[1]Grundlagen (22)'!B24/5*F28</f>
        <v>0</v>
      </c>
    </row>
    <row r="12" spans="1:15" s="1" customFormat="1" ht="20.100000000000001" customHeight="1" x14ac:dyDescent="0.25">
      <c r="A12" s="37" t="s">
        <v>55</v>
      </c>
      <c r="B12" s="38">
        <f t="shared" ref="B12:H12" si="1">SUM(B6+B7+B11)</f>
        <v>31845.223437499997</v>
      </c>
      <c r="C12" s="38">
        <f t="shared" si="1"/>
        <v>37241.634374999994</v>
      </c>
      <c r="D12" s="38">
        <f t="shared" si="1"/>
        <v>41400.923437499994</v>
      </c>
      <c r="E12" s="38">
        <f t="shared" si="1"/>
        <v>43384.584375000006</v>
      </c>
      <c r="F12" s="38">
        <f t="shared" si="1"/>
        <v>44579.046875</v>
      </c>
      <c r="G12" s="38">
        <f t="shared" si="1"/>
        <v>45176.278124999997</v>
      </c>
      <c r="H12" s="39">
        <f t="shared" si="1"/>
        <v>28506.499999999996</v>
      </c>
    </row>
    <row r="13" spans="1:15" s="1" customFormat="1" ht="20.100000000000001" customHeight="1" x14ac:dyDescent="0.25">
      <c r="A13" s="32" t="s">
        <v>14</v>
      </c>
      <c r="B13" s="33">
        <f>(B12*'Grundlagen der Berechnung'!D4)+(B12*'Grundlagen der Berechnung'!D5)</f>
        <v>2531.6952632812499</v>
      </c>
      <c r="C13" s="33">
        <f>(C12*'Grundlagen der Berechnung'!D4)+(C12*'Grundlagen der Berechnung'!D5)</f>
        <v>2960.7099328124991</v>
      </c>
      <c r="D13" s="33">
        <f>(D12*'Grundlagen der Berechnung'!D4)+(D12*'Grundlagen der Berechnung'!D5)</f>
        <v>3291.3734132812492</v>
      </c>
      <c r="E13" s="33">
        <f>(E12*'Grundlagen der Berechnung'!D4)+(E12*'Grundlagen der Berechnung'!D5)</f>
        <v>3449.0744578125</v>
      </c>
      <c r="F13" s="33">
        <f>(F12*'Grundlagen der Berechnung'!D4)+(F12*'Grundlagen der Berechnung'!D5)</f>
        <v>3544.0342265625</v>
      </c>
      <c r="G13" s="33">
        <f>(G12*'Grundlagen der Berechnung'!D4)+(G12*'Grundlagen der Berechnung'!D5)</f>
        <v>3591.5141109374999</v>
      </c>
      <c r="H13" s="34">
        <f>(H12*'Grundlagen der Berechnung'!D4)+(H12*'Grundlagen der Berechnung'!D5)</f>
        <v>2266.2667499999998</v>
      </c>
    </row>
    <row r="14" spans="1:15" s="1" customFormat="1" ht="20.100000000000001" customHeight="1" x14ac:dyDescent="0.25">
      <c r="A14" s="32" t="s">
        <v>17</v>
      </c>
      <c r="B14" s="33">
        <f>B12*'Grundlagen der Berechnung'!D6</f>
        <v>2961.6057796874998</v>
      </c>
      <c r="C14" s="33">
        <f>C12*'Grundlagen der Berechnung'!D6</f>
        <v>3463.4719968749996</v>
      </c>
      <c r="D14" s="33">
        <f>D12*'Grundlagen der Berechnung'!D6</f>
        <v>3850.2858796874993</v>
      </c>
      <c r="E14" s="33">
        <f>E12*'Grundlagen der Berechnung'!D6</f>
        <v>4034.7663468750006</v>
      </c>
      <c r="F14" s="33">
        <f>F12*'Grundlagen der Berechnung'!D6</f>
        <v>4145.8513593750004</v>
      </c>
      <c r="G14" s="33">
        <f>G12*'Grundlagen der Berechnung'!D6</f>
        <v>4201.3938656249993</v>
      </c>
      <c r="H14" s="34">
        <f>H12*'Grundlagen der Berechnung'!D6</f>
        <v>2651.1044999999995</v>
      </c>
    </row>
    <row r="15" spans="1:15" s="1" customFormat="1" ht="20.100000000000001" customHeight="1" x14ac:dyDescent="0.25">
      <c r="A15" s="32" t="s">
        <v>18</v>
      </c>
      <c r="B15" s="33">
        <f>B12*'Grundlagen der Berechnung'!D7</f>
        <v>382.14268124999995</v>
      </c>
      <c r="C15" s="33">
        <f>C12*'Grundlagen der Berechnung'!D7</f>
        <v>446.89961249999993</v>
      </c>
      <c r="D15" s="33">
        <f>D12*'Grundlagen der Berechnung'!D7</f>
        <v>496.81108124999992</v>
      </c>
      <c r="E15" s="33">
        <f>E12*'Grundlagen der Berechnung'!D7</f>
        <v>520.61501250000003</v>
      </c>
      <c r="F15" s="33">
        <f>F12*'Grundlagen der Berechnung'!D7</f>
        <v>534.94856249999998</v>
      </c>
      <c r="G15" s="33">
        <f>G12*'Grundlagen der Berechnung'!D7</f>
        <v>542.11533750000001</v>
      </c>
      <c r="H15" s="34">
        <f>H12*'Grundlagen der Berechnung'!D7</f>
        <v>342.07799999999997</v>
      </c>
    </row>
    <row r="16" spans="1:15" s="1" customFormat="1" ht="20.100000000000001" customHeight="1" x14ac:dyDescent="0.25">
      <c r="A16" s="32" t="s">
        <v>59</v>
      </c>
      <c r="B16" s="33">
        <f>B12*'Grundlagen der Berechnung'!D8</f>
        <v>485.63965742187497</v>
      </c>
      <c r="C16" s="33">
        <f>C12*'Grundlagen der Berechnung'!D8</f>
        <v>567.93492421874987</v>
      </c>
      <c r="D16" s="33">
        <f>D12*'Grundlagen der Berechnung'!D8</f>
        <v>631.36408242187485</v>
      </c>
      <c r="E16" s="33">
        <f>E12*'Grundlagen der Berechnung'!D8</f>
        <v>661.61491171875002</v>
      </c>
      <c r="F16" s="33">
        <f>F12*'Grundlagen der Berechnung'!D8</f>
        <v>679.83046484374995</v>
      </c>
      <c r="G16" s="33">
        <f>G12*'Grundlagen der Berechnung'!D8</f>
        <v>688.93824140624997</v>
      </c>
      <c r="H16" s="34">
        <f>H12*'Grundlagen der Berechnung'!D8</f>
        <v>434.72412499999996</v>
      </c>
    </row>
    <row r="17" spans="1:8" s="1" customFormat="1" ht="20.100000000000001" customHeight="1" x14ac:dyDescent="0.25">
      <c r="A17" s="32" t="s">
        <v>60</v>
      </c>
      <c r="B17" s="33">
        <f>B12*'Grundlagen der Berechnung'!D10</f>
        <v>987.20192656249992</v>
      </c>
      <c r="C17" s="33">
        <f>C12*'Grundlagen der Berechnung'!D10</f>
        <v>1154.4906656249998</v>
      </c>
      <c r="D17" s="33">
        <f>D12*'Grundlagen der Berechnung'!D10</f>
        <v>1283.4286265624999</v>
      </c>
      <c r="E17" s="33">
        <f>E12*'Grundlagen der Berechnung'!D10</f>
        <v>1344.9221156250001</v>
      </c>
      <c r="F17" s="33">
        <f>F12*'Grundlagen der Berechnung'!D10</f>
        <v>1381.950453125</v>
      </c>
      <c r="G17" s="33">
        <f>G12*'Grundlagen der Berechnung'!D10</f>
        <v>1400.4646218749999</v>
      </c>
      <c r="H17" s="34">
        <f>H12*'Grundlagen der Berechnung'!D10</f>
        <v>883.7014999999999</v>
      </c>
    </row>
    <row r="18" spans="1:8" s="1" customFormat="1" ht="20.100000000000001" customHeight="1" x14ac:dyDescent="0.25">
      <c r="A18" s="32" t="s">
        <v>61</v>
      </c>
      <c r="B18" s="33">
        <f>B12*'Grundlagen der Berechnung'!D11</f>
        <v>187.88681828124999</v>
      </c>
      <c r="C18" s="33">
        <f>C12*'Grundlagen der Berechnung'!D11</f>
        <v>219.72564281249996</v>
      </c>
      <c r="D18" s="33">
        <f>D12*'Grundlagen der Berechnung'!D11</f>
        <v>244.26544828124997</v>
      </c>
      <c r="E18" s="33">
        <f>E12*'Grundlagen der Berechnung'!D11</f>
        <v>255.96904781250004</v>
      </c>
      <c r="F18" s="33">
        <f>F12*'Grundlagen der Berechnung'!D11</f>
        <v>263.0163765625</v>
      </c>
      <c r="G18" s="33">
        <f>G12*'Grundlagen der Berechnung'!D11</f>
        <v>266.54004093749995</v>
      </c>
      <c r="H18" s="34">
        <f>H12*'Grundlagen der Berechnung'!D11</f>
        <v>168.18834999999999</v>
      </c>
    </row>
    <row r="19" spans="1:8" s="1" customFormat="1" ht="20.100000000000001" customHeight="1" x14ac:dyDescent="0.25">
      <c r="A19" s="32" t="s">
        <v>145</v>
      </c>
      <c r="B19" s="33">
        <f>B12*'Grundlagen der Berechnung'!D12</f>
        <v>28.660701093749996</v>
      </c>
      <c r="C19" s="33">
        <f>C12*'Grundlagen der Berechnung'!D12</f>
        <v>33.517470937499994</v>
      </c>
      <c r="D19" s="33">
        <f>D12*'Grundlagen der Berechnung'!D12</f>
        <v>37.260831093749992</v>
      </c>
      <c r="E19" s="33">
        <f>E12*'Grundlagen der Berechnung'!D12</f>
        <v>39.046125937500001</v>
      </c>
      <c r="F19" s="33">
        <f>F12*'Grundlagen der Berechnung'!D12</f>
        <v>40.121142187499998</v>
      </c>
      <c r="G19" s="33">
        <f>G12*'Grundlagen der Berechnung'!D12</f>
        <v>40.658650312499994</v>
      </c>
      <c r="H19" s="33">
        <f>H12*'Grundlagen der Berechnung'!D12</f>
        <v>25.655849999999997</v>
      </c>
    </row>
    <row r="20" spans="1:8" s="1" customFormat="1" ht="20.100000000000001" customHeight="1" x14ac:dyDescent="0.25">
      <c r="A20" s="32" t="s">
        <v>62</v>
      </c>
      <c r="B20" s="33">
        <f>B12*'Grundlagen der Berechnung'!D13</f>
        <v>773.71154863749996</v>
      </c>
      <c r="C20" s="33">
        <f>C12*'Grundlagen der Berechnung'!D13</f>
        <v>904.82274877499992</v>
      </c>
      <c r="D20" s="33">
        <f>D12*'Grundlagen der Berechnung'!D13</f>
        <v>1005.8768358374999</v>
      </c>
      <c r="E20" s="33">
        <f>E12*'Grundlagen der Berechnung'!D13</f>
        <v>1054.0718619750003</v>
      </c>
      <c r="F20" s="33">
        <f>F12*'Grundlagen der Berechnung'!D13</f>
        <v>1083.092522875</v>
      </c>
      <c r="G20" s="33">
        <f>G12*'Grundlagen der Berechnung'!D13</f>
        <v>1097.6028533250001</v>
      </c>
      <c r="H20" s="34">
        <f>H12*'Grundlagen der Berechnung'!D13</f>
        <v>692.5939239999999</v>
      </c>
    </row>
    <row r="21" spans="1:8" s="1" customFormat="1" ht="20.100000000000001" customHeight="1" x14ac:dyDescent="0.25">
      <c r="A21" s="40" t="s">
        <v>64</v>
      </c>
      <c r="B21" s="41">
        <f t="shared" ref="B21:G21" si="2">SUM(B13:B20)</f>
        <v>8338.5443762156247</v>
      </c>
      <c r="C21" s="41">
        <f t="shared" si="2"/>
        <v>9751.5729945562489</v>
      </c>
      <c r="D21" s="41">
        <f t="shared" si="2"/>
        <v>10840.666198415624</v>
      </c>
      <c r="E21" s="41">
        <f t="shared" si="2"/>
        <v>11360.079880256253</v>
      </c>
      <c r="F21" s="41">
        <f t="shared" si="2"/>
        <v>11672.84510803125</v>
      </c>
      <c r="G21" s="41">
        <f t="shared" si="2"/>
        <v>11829.227721918749</v>
      </c>
      <c r="H21" s="42">
        <f>SUM(H13:H20)</f>
        <v>7464.3129989999998</v>
      </c>
    </row>
    <row r="22" spans="1:8" s="1" customFormat="1" ht="20.100000000000001" customHeight="1" x14ac:dyDescent="0.25">
      <c r="A22" s="43" t="s">
        <v>63</v>
      </c>
      <c r="B22" s="44">
        <f>B12*'Grundlagen der Berechnung'!Q13-400</f>
        <v>778.27326718749987</v>
      </c>
      <c r="C22" s="44">
        <f>C12*'Grundlagen der Berechnung'!Q13-400</f>
        <v>977.94047187499973</v>
      </c>
      <c r="D22" s="44">
        <f>D12*'Grundlagen der Berechnung'!Q13-400</f>
        <v>1131.8341671874998</v>
      </c>
      <c r="E22" s="44">
        <f>E12*'Grundlagen der Berechnung'!Q13-400</f>
        <v>1205.2296218750002</v>
      </c>
      <c r="F22" s="44">
        <f>F12*'Grundlagen der Berechnung'!Q13-400</f>
        <v>1249.4247343749998</v>
      </c>
      <c r="G22" s="44">
        <f>G12*'Grundlagen der Berechnung'!Q13-400</f>
        <v>1271.5222906249999</v>
      </c>
      <c r="H22" s="45">
        <f>H12*'Grundlagen der Berechnung'!Q13-400</f>
        <v>654.74049999999988</v>
      </c>
    </row>
    <row r="23" spans="1:8" s="1" customFormat="1" ht="20.100000000000001" customHeight="1" x14ac:dyDescent="0.25">
      <c r="A23" s="43" t="s">
        <v>114</v>
      </c>
      <c r="B23" s="44">
        <f>'Grundlagen der Berechnung'!H28</f>
        <v>1000</v>
      </c>
      <c r="C23" s="44">
        <f>'Grundlagen der Berechnung'!H28</f>
        <v>1000</v>
      </c>
      <c r="D23" s="44">
        <f>'Grundlagen der Berechnung'!H28</f>
        <v>1000</v>
      </c>
      <c r="E23" s="44">
        <f>'Grundlagen der Berechnung'!H28</f>
        <v>1000</v>
      </c>
      <c r="F23" s="44">
        <f>'Grundlagen der Berechnung'!H28</f>
        <v>1000</v>
      </c>
      <c r="G23" s="44">
        <f>'Grundlagen der Berechnung'!H28</f>
        <v>1000</v>
      </c>
      <c r="H23" s="44">
        <f>'Grundlagen der Berechnung'!N28/12*2</f>
        <v>0</v>
      </c>
    </row>
    <row r="24" spans="1:8" s="1" customFormat="1" ht="20.100000000000001" customHeight="1" x14ac:dyDescent="0.25">
      <c r="A24" s="75" t="s">
        <v>56</v>
      </c>
      <c r="B24" s="76">
        <f t="shared" ref="B24:H24" si="3">SUM(B6:B11)+B21+B22+B23</f>
        <v>44488.041080903116</v>
      </c>
      <c r="C24" s="76">
        <f t="shared" si="3"/>
        <v>51497.147841431244</v>
      </c>
      <c r="D24" s="76">
        <f t="shared" si="3"/>
        <v>56899.42380310312</v>
      </c>
      <c r="E24" s="76">
        <f t="shared" si="3"/>
        <v>59475.893877131253</v>
      </c>
      <c r="F24" s="76">
        <f t="shared" si="3"/>
        <v>61027.316717406255</v>
      </c>
      <c r="G24" s="76">
        <f t="shared" si="3"/>
        <v>61803.028137543748</v>
      </c>
      <c r="H24" s="76">
        <f t="shared" si="3"/>
        <v>36625.553498999994</v>
      </c>
    </row>
    <row r="25" spans="1:8" s="1" customFormat="1" ht="20.100000000000001" customHeight="1" x14ac:dyDescent="0.25">
      <c r="A25" s="77" t="s">
        <v>57</v>
      </c>
      <c r="B25" s="35">
        <f t="shared" ref="B25:H25" si="4">B24/12</f>
        <v>3707.3367567419264</v>
      </c>
      <c r="C25" s="35">
        <f t="shared" si="4"/>
        <v>4291.428986785937</v>
      </c>
      <c r="D25" s="35">
        <f t="shared" si="4"/>
        <v>4741.6186502585933</v>
      </c>
      <c r="E25" s="35">
        <f t="shared" si="4"/>
        <v>4956.3244897609375</v>
      </c>
      <c r="F25" s="35">
        <f t="shared" si="4"/>
        <v>5085.6097264505215</v>
      </c>
      <c r="G25" s="35">
        <f t="shared" si="4"/>
        <v>5150.2523447953126</v>
      </c>
      <c r="H25" s="36">
        <f t="shared" si="4"/>
        <v>3052.1294582499995</v>
      </c>
    </row>
    <row r="26" spans="1:8" s="1" customFormat="1" ht="20.100000000000001" customHeight="1" thickBot="1" x14ac:dyDescent="0.3">
      <c r="A26" s="78" t="s">
        <v>72</v>
      </c>
      <c r="B26" s="79">
        <f>B24/'[1]Grundlagen (22)'!H7*7</f>
        <v>853.19530840088169</v>
      </c>
      <c r="C26" s="79">
        <f>C24/'[1]Grundlagen (22)'!H7*7</f>
        <v>987.61653394525683</v>
      </c>
      <c r="D26" s="79">
        <f>D24/'[1]Grundlagen (22)'!H7*7</f>
        <v>1091.2218263608816</v>
      </c>
      <c r="E26" s="79">
        <f>E24/'[1]Grundlagen (22)'!H7*7</f>
        <v>1140.6335812052569</v>
      </c>
      <c r="F26" s="79">
        <f>F24/'[1]Grundlagen (22)'!H7*7</f>
        <v>1170.386895950257</v>
      </c>
      <c r="G26" s="79">
        <f>G24/'[1]Grundlagen (22)'!H7*7</f>
        <v>1185.2635533227569</v>
      </c>
      <c r="H26" s="80">
        <f>H24/'[1]Grundlagen (22)'!H7*7</f>
        <v>702.40787532328761</v>
      </c>
    </row>
    <row r="27" spans="1:8" s="1" customFormat="1" ht="20.100000000000001" customHeight="1" thickBot="1" x14ac:dyDescent="0.3">
      <c r="A27" s="81" t="s">
        <v>83</v>
      </c>
      <c r="B27" s="294" t="s">
        <v>95</v>
      </c>
      <c r="C27" s="294"/>
      <c r="D27" s="295"/>
      <c r="E27" s="25"/>
      <c r="F27" s="23"/>
      <c r="G27" s="23"/>
      <c r="H27" s="23"/>
    </row>
    <row r="28" spans="1:8" s="1" customFormat="1" ht="20.100000000000001" customHeight="1" x14ac:dyDescent="0.25">
      <c r="A28" s="47" t="s">
        <v>16</v>
      </c>
      <c r="B28" s="48">
        <f>'Grundlagen der Berechnung'!H5-B29</f>
        <v>206</v>
      </c>
      <c r="C28" s="48">
        <f>'Grundlagen der Berechnung'!H5-C29</f>
        <v>206</v>
      </c>
      <c r="D28" s="48">
        <f>'Grundlagen der Berechnung'!H5-D29</f>
        <v>206</v>
      </c>
      <c r="E28" s="48">
        <f>'Grundlagen der Berechnung'!H5-E29</f>
        <v>204</v>
      </c>
      <c r="F28" s="48">
        <f>'Grundlagen der Berechnung'!H5-F29</f>
        <v>204</v>
      </c>
      <c r="G28" s="48">
        <f>'Grundlagen der Berechnung'!H5-G29</f>
        <v>204</v>
      </c>
      <c r="H28" s="49">
        <f>'Grundlagen der Berechnung'!H5-H29</f>
        <v>218</v>
      </c>
    </row>
    <row r="29" spans="1:8" s="1" customFormat="1" ht="20.100000000000001" customHeight="1" x14ac:dyDescent="0.25">
      <c r="A29" s="46" t="s">
        <v>75</v>
      </c>
      <c r="B29" s="50">
        <f>'Grundlagen der Berechnung'!D18</f>
        <v>43</v>
      </c>
      <c r="C29" s="51">
        <f>'Grundlagen der Berechnung'!D18</f>
        <v>43</v>
      </c>
      <c r="D29" s="51">
        <f>'Grundlagen der Berechnung'!D18</f>
        <v>43</v>
      </c>
      <c r="E29" s="51">
        <f>'Grundlagen der Berechnung'!D19</f>
        <v>45</v>
      </c>
      <c r="F29" s="52">
        <f>'Grundlagen der Berechnung'!D19</f>
        <v>45</v>
      </c>
      <c r="G29" s="52">
        <f>'Grundlagen der Berechnung'!D19</f>
        <v>45</v>
      </c>
      <c r="H29" s="53">
        <f>'Grundlagen der Berechnung'!D17</f>
        <v>31</v>
      </c>
    </row>
    <row r="30" spans="1:8" s="1" customFormat="1" ht="20.100000000000001" customHeight="1" thickBot="1" x14ac:dyDescent="0.3">
      <c r="A30" s="54" t="s">
        <v>84</v>
      </c>
      <c r="B30" s="55">
        <f t="shared" ref="B30:H30" si="5">B21/B28</f>
        <v>40.478370758328275</v>
      </c>
      <c r="C30" s="55">
        <f t="shared" si="5"/>
        <v>47.337732983282763</v>
      </c>
      <c r="D30" s="55">
        <f t="shared" si="5"/>
        <v>52.62459319619235</v>
      </c>
      <c r="E30" s="55">
        <f t="shared" si="5"/>
        <v>55.686666079687512</v>
      </c>
      <c r="F30" s="55">
        <f t="shared" si="5"/>
        <v>57.219828960937498</v>
      </c>
      <c r="G30" s="55">
        <f t="shared" si="5"/>
        <v>57.986410401562495</v>
      </c>
      <c r="H30" s="56">
        <f t="shared" si="5"/>
        <v>34.2399678853211</v>
      </c>
    </row>
    <row r="31" spans="1:8" s="1" customFormat="1" ht="20.100000000000001" customHeight="1" thickBot="1" x14ac:dyDescent="0.3">
      <c r="A31" s="296" t="s">
        <v>87</v>
      </c>
      <c r="B31" s="297"/>
      <c r="C31" s="23"/>
      <c r="D31" s="23"/>
      <c r="E31" s="23"/>
      <c r="F31" s="23"/>
      <c r="G31" s="23"/>
      <c r="H31" s="23"/>
    </row>
    <row r="32" spans="1:8" s="1" customFormat="1" ht="20.100000000000001" customHeight="1" x14ac:dyDescent="0.25">
      <c r="A32" s="57" t="s">
        <v>72</v>
      </c>
      <c r="B32" s="58">
        <f t="shared" ref="B32:H32" si="6">B26</f>
        <v>853.19530840088169</v>
      </c>
      <c r="C32" s="58">
        <f t="shared" si="6"/>
        <v>987.61653394525683</v>
      </c>
      <c r="D32" s="58">
        <f t="shared" si="6"/>
        <v>1091.2218263608816</v>
      </c>
      <c r="E32" s="58">
        <f t="shared" si="6"/>
        <v>1140.6335812052569</v>
      </c>
      <c r="F32" s="58">
        <f t="shared" si="6"/>
        <v>1170.386895950257</v>
      </c>
      <c r="G32" s="58">
        <f t="shared" si="6"/>
        <v>1185.2635533227569</v>
      </c>
      <c r="H32" s="59">
        <f t="shared" si="6"/>
        <v>702.40787532328761</v>
      </c>
    </row>
    <row r="33" spans="1:12" s="1" customFormat="1" ht="20.100000000000001" customHeight="1" x14ac:dyDescent="0.25">
      <c r="A33" s="60" t="s">
        <v>82</v>
      </c>
      <c r="B33" s="61">
        <f t="shared" ref="B33:H33" si="7">B30*5</f>
        <v>202.39185379164138</v>
      </c>
      <c r="C33" s="61">
        <f t="shared" si="7"/>
        <v>236.68866491641381</v>
      </c>
      <c r="D33" s="61">
        <f t="shared" si="7"/>
        <v>263.12296598096174</v>
      </c>
      <c r="E33" s="61">
        <f t="shared" si="7"/>
        <v>278.43333039843753</v>
      </c>
      <c r="F33" s="61">
        <f t="shared" si="7"/>
        <v>286.09914480468751</v>
      </c>
      <c r="G33" s="61">
        <f t="shared" si="7"/>
        <v>289.93205200781244</v>
      </c>
      <c r="H33" s="62">
        <f t="shared" si="7"/>
        <v>171.19983942660551</v>
      </c>
      <c r="I33" s="26"/>
      <c r="J33" s="27"/>
      <c r="K33" s="27"/>
      <c r="L33" s="27"/>
    </row>
    <row r="34" spans="1:12" s="1" customFormat="1" ht="20.100000000000001" customHeight="1" x14ac:dyDescent="0.25">
      <c r="A34" s="60" t="s">
        <v>71</v>
      </c>
      <c r="B34" s="61">
        <f t="shared" ref="B34:H34" si="8">B32+B33</f>
        <v>1055.587162192523</v>
      </c>
      <c r="C34" s="61">
        <f t="shared" si="8"/>
        <v>1224.3051988616708</v>
      </c>
      <c r="D34" s="61">
        <f t="shared" si="8"/>
        <v>1354.3447923418432</v>
      </c>
      <c r="E34" s="61">
        <f t="shared" si="8"/>
        <v>1419.0669116036943</v>
      </c>
      <c r="F34" s="61">
        <f t="shared" si="8"/>
        <v>1456.4860407549445</v>
      </c>
      <c r="G34" s="61">
        <f t="shared" si="8"/>
        <v>1475.1956053305694</v>
      </c>
      <c r="H34" s="62">
        <f t="shared" si="8"/>
        <v>873.60771474989315</v>
      </c>
    </row>
    <row r="35" spans="1:12" s="1" customFormat="1" ht="20.100000000000001" customHeight="1" x14ac:dyDescent="0.25">
      <c r="A35" s="60" t="s">
        <v>66</v>
      </c>
      <c r="B35" s="61">
        <f>B34*'[1]Grundlagen (22)'!Q14</f>
        <v>200.56156081657937</v>
      </c>
      <c r="C35" s="61">
        <f>C34*'[1]Grundlagen (22)'!Q14</f>
        <v>232.61798778371744</v>
      </c>
      <c r="D35" s="61">
        <f>D34*'[1]Grundlagen (22)'!Q14</f>
        <v>257.32551054495019</v>
      </c>
      <c r="E35" s="61">
        <f>E34*'[1]Grundlagen (22)'!Q14</f>
        <v>269.62271320470194</v>
      </c>
      <c r="F35" s="61">
        <f>F34*'[1]Grundlagen (22)'!Q14</f>
        <v>276.73234774343945</v>
      </c>
      <c r="G35" s="61">
        <f>G34*'[1]Grundlagen (22)'!Q14</f>
        <v>280.2871650128082</v>
      </c>
      <c r="H35" s="62">
        <f>H34*'[1]Grundlagen (22)'!Q14</f>
        <v>165.98546580247969</v>
      </c>
      <c r="I35" s="26"/>
      <c r="J35" s="27"/>
      <c r="K35" s="27"/>
      <c r="L35" s="27"/>
    </row>
    <row r="36" spans="1:12" s="1" customFormat="1" ht="20.100000000000001" customHeight="1" x14ac:dyDescent="0.25">
      <c r="A36" s="63" t="s">
        <v>85</v>
      </c>
      <c r="B36" s="64">
        <f t="shared" ref="B36:H36" si="9">B34+B35</f>
        <v>1256.1487230091025</v>
      </c>
      <c r="C36" s="64">
        <f t="shared" si="9"/>
        <v>1456.9231866453881</v>
      </c>
      <c r="D36" s="64">
        <f t="shared" si="9"/>
        <v>1611.6703028867935</v>
      </c>
      <c r="E36" s="64">
        <f t="shared" si="9"/>
        <v>1688.6896248083963</v>
      </c>
      <c r="F36" s="64">
        <f t="shared" si="9"/>
        <v>1733.218388498384</v>
      </c>
      <c r="G36" s="64">
        <f t="shared" si="9"/>
        <v>1755.4827703433775</v>
      </c>
      <c r="H36" s="65">
        <f t="shared" si="9"/>
        <v>1039.5931805523728</v>
      </c>
    </row>
    <row r="37" spans="1:12" s="1" customFormat="1" ht="20.100000000000001" customHeight="1" x14ac:dyDescent="0.25">
      <c r="A37" s="66" t="s">
        <v>58</v>
      </c>
      <c r="B37" s="67">
        <f>B34/5</f>
        <v>211.11743243850461</v>
      </c>
      <c r="C37" s="67">
        <f t="shared" ref="C37:H39" si="10">C34/5</f>
        <v>244.86103977233415</v>
      </c>
      <c r="D37" s="67">
        <f t="shared" si="10"/>
        <v>270.86895846836865</v>
      </c>
      <c r="E37" s="67">
        <f t="shared" si="10"/>
        <v>283.81338232073887</v>
      </c>
      <c r="F37" s="67">
        <f t="shared" si="10"/>
        <v>291.29720815098892</v>
      </c>
      <c r="G37" s="67">
        <f t="shared" si="10"/>
        <v>295.03912106611386</v>
      </c>
      <c r="H37" s="68">
        <f t="shared" si="10"/>
        <v>174.72154294997864</v>
      </c>
    </row>
    <row r="38" spans="1:12" s="1" customFormat="1" ht="20.100000000000001" customHeight="1" x14ac:dyDescent="0.25">
      <c r="A38" s="66" t="s">
        <v>66</v>
      </c>
      <c r="B38" s="67">
        <f>B35/5</f>
        <v>40.112312163315877</v>
      </c>
      <c r="C38" s="67">
        <f t="shared" si="10"/>
        <v>46.523597556743489</v>
      </c>
      <c r="D38" s="67">
        <f t="shared" si="10"/>
        <v>51.465102108990038</v>
      </c>
      <c r="E38" s="67">
        <f t="shared" si="10"/>
        <v>53.924542640940388</v>
      </c>
      <c r="F38" s="67">
        <f t="shared" si="10"/>
        <v>55.346469548687892</v>
      </c>
      <c r="G38" s="67">
        <f t="shared" si="10"/>
        <v>56.057433002561638</v>
      </c>
      <c r="H38" s="68">
        <f t="shared" si="10"/>
        <v>33.197093160495939</v>
      </c>
    </row>
    <row r="39" spans="1:12" ht="15.75" thickBot="1" x14ac:dyDescent="0.3">
      <c r="A39" s="69" t="s">
        <v>86</v>
      </c>
      <c r="B39" s="70">
        <f>B36/5</f>
        <v>251.2297446018205</v>
      </c>
      <c r="C39" s="70">
        <f t="shared" si="10"/>
        <v>291.38463732907763</v>
      </c>
      <c r="D39" s="70">
        <f t="shared" si="10"/>
        <v>322.33406057735868</v>
      </c>
      <c r="E39" s="70">
        <f t="shared" si="10"/>
        <v>337.73792496167925</v>
      </c>
      <c r="F39" s="70">
        <f t="shared" si="10"/>
        <v>346.6436776996768</v>
      </c>
      <c r="G39" s="70">
        <f t="shared" si="10"/>
        <v>351.09655406867552</v>
      </c>
      <c r="H39" s="71">
        <f>'[1]Lohnkosten (22'!H37</f>
        <v>205.56005766593708</v>
      </c>
    </row>
  </sheetData>
  <sheetProtection algorithmName="SHA-512" hashValue="pG0iTAC30yiJNhFuXe7tAu6u/ZNzr29YPWrIFcec7sT2d5pNpYH48iNNCB2UFboEEZmYKwgNvw3q8o9K3M3AOg==" saltValue="lBJJghr8wV0TfRV2mrmuDg==" spinCount="100000" sheet="1" objects="1" scenarios="1"/>
  <mergeCells count="2">
    <mergeCell ref="B27:D27"/>
    <mergeCell ref="A31:B31"/>
  </mergeCells>
  <pageMargins left="0.7" right="0.7" top="0.78740157499999996" bottom="0.78740157499999996" header="0.3" footer="0.3"/>
  <pageSetup paperSize="8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9"/>
  <sheetViews>
    <sheetView zoomScaleNormal="100" workbookViewId="0"/>
  </sheetViews>
  <sheetFormatPr baseColWidth="10" defaultRowHeight="15" x14ac:dyDescent="0.25"/>
  <cols>
    <col min="1" max="1" width="30.42578125" customWidth="1"/>
  </cols>
  <sheetData>
    <row r="1" spans="1:15" ht="20.100000000000001" customHeight="1" thickBot="1" x14ac:dyDescent="0.3">
      <c r="A1" s="74" t="s">
        <v>113</v>
      </c>
      <c r="B1" s="19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ht="20.100000000000001" customHeight="1" thickBot="1" x14ac:dyDescent="0.3">
      <c r="A2" s="24" t="s">
        <v>81</v>
      </c>
      <c r="B2" s="19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ht="20.100000000000001" customHeight="1" x14ac:dyDescent="0.25">
      <c r="A3" s="72" t="s">
        <v>43</v>
      </c>
      <c r="B3" s="73" t="s">
        <v>44</v>
      </c>
      <c r="C3" s="73" t="s">
        <v>45</v>
      </c>
      <c r="D3" s="73" t="s">
        <v>46</v>
      </c>
      <c r="E3" s="73" t="s">
        <v>47</v>
      </c>
      <c r="F3" s="73" t="s">
        <v>48</v>
      </c>
      <c r="G3" s="73" t="s">
        <v>94</v>
      </c>
      <c r="H3" s="82" t="s">
        <v>77</v>
      </c>
      <c r="I3" s="1"/>
      <c r="J3" s="1"/>
      <c r="K3" s="1"/>
      <c r="L3" s="1"/>
    </row>
    <row r="4" spans="1:15" s="1" customFormat="1" ht="20.100000000000001" customHeight="1" x14ac:dyDescent="0.25">
      <c r="A4" s="28" t="s">
        <v>49</v>
      </c>
      <c r="B4" s="29">
        <f>'Grundlagen der Berechnung'!H26</f>
        <v>15.74</v>
      </c>
      <c r="C4" s="29">
        <f>'Grundlagen der Berechnung'!I26</f>
        <v>18.399999999999999</v>
      </c>
      <c r="D4" s="29">
        <f>'Grundlagen der Berechnung'!J26</f>
        <v>20.46</v>
      </c>
      <c r="E4" s="29">
        <f>'Grundlagen der Berechnung'!K26</f>
        <v>21.44</v>
      </c>
      <c r="F4" s="29">
        <f>'Grundlagen der Berechnung'!L26</f>
        <v>22.03</v>
      </c>
      <c r="G4" s="29">
        <f>'Grundlagen der Berechnung'!M26</f>
        <v>22.45</v>
      </c>
      <c r="H4" s="29">
        <f>'Grundlagen der Berechnung'!N26</f>
        <v>14.2</v>
      </c>
    </row>
    <row r="5" spans="1:15" s="1" customFormat="1" ht="20.100000000000001" customHeight="1" x14ac:dyDescent="0.25">
      <c r="A5" s="28" t="s">
        <v>50</v>
      </c>
      <c r="B5" s="29">
        <f>B4*'Grundlagen der Berechnung'!Q12/7*'Grundlagen der Berechnung'!H7/12</f>
        <v>2633.1708333333336</v>
      </c>
      <c r="C5" s="29">
        <f>C4*'Grundlagen der Berechnung'!Q12/7*'Grundlagen der Berechnung'!H7/12</f>
        <v>3078.1666666666665</v>
      </c>
      <c r="D5" s="29">
        <f>D4*'Grundlagen der Berechnung'!Q12/7*'Grundlagen der Berechnung'!H7/12</f>
        <v>3422.7874999999999</v>
      </c>
      <c r="E5" s="29">
        <f>E4*'Grundlagen der Berechnung'!Q12/7*'Grundlagen der Berechnung'!H7/12</f>
        <v>3586.7333333333336</v>
      </c>
      <c r="F5" s="29">
        <f>F4*'Grundlagen der Berechnung'!Q12/7*'Grundlagen der Berechnung'!H7/12</f>
        <v>3685.4354166666672</v>
      </c>
      <c r="G5" s="29">
        <f>G4*'Grundlagen der Berechnung'!Q12/7*'Grundlagen der Berechnung'!H7/12</f>
        <v>3755.6979166666665</v>
      </c>
      <c r="H5" s="30">
        <f>H4*'Grundlagen der Berechnung'!Q12/7*'Grundlagen der Berechnung'!H7/12</f>
        <v>2375.5416666666665</v>
      </c>
      <c r="J5" s="23"/>
      <c r="K5" s="23"/>
      <c r="L5" s="23"/>
      <c r="M5" s="23"/>
      <c r="N5" s="23"/>
      <c r="O5" s="23"/>
    </row>
    <row r="6" spans="1:15" s="1" customFormat="1" ht="20.100000000000001" customHeight="1" x14ac:dyDescent="0.25">
      <c r="A6" s="28" t="s">
        <v>51</v>
      </c>
      <c r="B6" s="29">
        <f>B4*'Grundlagen der Berechnung'!Q12/7*'Grundlagen der Berechnung'!H7</f>
        <v>31598.050000000003</v>
      </c>
      <c r="C6" s="29">
        <f>C4*'Grundlagen der Berechnung'!Q12/7*'Grundlagen der Berechnung'!H7</f>
        <v>36938</v>
      </c>
      <c r="D6" s="29">
        <f>D4*'Grundlagen der Berechnung'!Q12/7*'Grundlagen der Berechnung'!H7</f>
        <v>41073.449999999997</v>
      </c>
      <c r="E6" s="29">
        <f>E4*'Grundlagen der Berechnung'!Q12/7*'Grundlagen der Berechnung'!H7</f>
        <v>43040.800000000003</v>
      </c>
      <c r="F6" s="29">
        <f>F4*'Grundlagen der Berechnung'!Q12/7*'Grundlagen der Berechnung'!H7</f>
        <v>44225.225000000006</v>
      </c>
      <c r="G6" s="29">
        <f>G4*'Grundlagen der Berechnung'!Q12/7*'Grundlagen der Berechnung'!H7</f>
        <v>45068.375</v>
      </c>
      <c r="H6" s="30">
        <f>H4*'Grundlagen der Berechnung'!Q12/7*'Grundlagen der Berechnung'!H7</f>
        <v>28506.499999999996</v>
      </c>
      <c r="J6" s="112"/>
      <c r="K6" s="112"/>
      <c r="L6" s="112"/>
      <c r="M6" s="112"/>
      <c r="N6" s="112"/>
      <c r="O6" s="112"/>
    </row>
    <row r="7" spans="1:15" s="1" customFormat="1" ht="20.100000000000001" customHeight="1" x14ac:dyDescent="0.25">
      <c r="A7" s="28" t="s">
        <v>52</v>
      </c>
      <c r="B7" s="29">
        <f t="shared" ref="B7:G7" si="0">B5*0.75</f>
        <v>1974.8781250000002</v>
      </c>
      <c r="C7" s="29">
        <f t="shared" si="0"/>
        <v>2308.625</v>
      </c>
      <c r="D7" s="29">
        <f t="shared" si="0"/>
        <v>2567.0906249999998</v>
      </c>
      <c r="E7" s="29">
        <f t="shared" si="0"/>
        <v>2690.05</v>
      </c>
      <c r="F7" s="31">
        <f t="shared" si="0"/>
        <v>2764.0765625000004</v>
      </c>
      <c r="G7" s="29">
        <f t="shared" si="0"/>
        <v>2816.7734375</v>
      </c>
      <c r="H7" s="30">
        <f>H5*0</f>
        <v>0</v>
      </c>
      <c r="J7" s="99"/>
      <c r="K7" s="23"/>
      <c r="L7" s="23"/>
    </row>
    <row r="8" spans="1:15" s="1" customFormat="1" ht="20.100000000000001" customHeight="1" x14ac:dyDescent="0.25">
      <c r="A8" s="28" t="s">
        <v>73</v>
      </c>
      <c r="B8" s="29">
        <f>'Grundlagen der Berechnung'!C16*12</f>
        <v>1752</v>
      </c>
      <c r="C8" s="29">
        <f>'Grundlagen der Berechnung'!C16*12</f>
        <v>1752</v>
      </c>
      <c r="D8" s="29">
        <f>'Grundlagen der Berechnung'!C16*12</f>
        <v>1752</v>
      </c>
      <c r="E8" s="29">
        <f>'Grundlagen der Berechnung'!C16*12</f>
        <v>1752</v>
      </c>
      <c r="F8" s="29">
        <f>'Grundlagen der Berechnung'!C16*12</f>
        <v>1752</v>
      </c>
      <c r="G8" s="29">
        <f>'Grundlagen der Berechnung'!C16*12</f>
        <v>1752</v>
      </c>
      <c r="H8" s="30">
        <f>'[1]Grundlagen (22)'!C16*12*0</f>
        <v>0</v>
      </c>
      <c r="J8" s="25"/>
      <c r="K8" s="23"/>
      <c r="L8" s="23"/>
    </row>
    <row r="9" spans="1:15" s="1" customFormat="1" ht="20.100000000000001" customHeight="1" x14ac:dyDescent="0.25">
      <c r="A9" s="28" t="s">
        <v>74</v>
      </c>
      <c r="B9" s="29">
        <f>'Grundlagen der Berechnung'!B22</f>
        <v>294</v>
      </c>
      <c r="C9" s="29">
        <f>'Grundlagen der Berechnung'!B22</f>
        <v>294</v>
      </c>
      <c r="D9" s="29">
        <f>'Grundlagen der Berechnung'!B22</f>
        <v>294</v>
      </c>
      <c r="E9" s="29">
        <f>'Grundlagen der Berechnung'!B22</f>
        <v>294</v>
      </c>
      <c r="F9" s="29">
        <f>'Grundlagen der Berechnung'!B22</f>
        <v>294</v>
      </c>
      <c r="G9" s="29">
        <f>'Grundlagen der Berechnung'!B22</f>
        <v>294</v>
      </c>
      <c r="H9" s="30">
        <f>'[1]Grundlagen (22)'!B22*0</f>
        <v>0</v>
      </c>
    </row>
    <row r="10" spans="1:15" s="1" customFormat="1" ht="20.100000000000001" customHeight="1" x14ac:dyDescent="0.25">
      <c r="A10" s="28" t="s">
        <v>54</v>
      </c>
      <c r="B10" s="29">
        <f>'Grundlagen der Berechnung'!B23</f>
        <v>480</v>
      </c>
      <c r="C10" s="29">
        <f>'Grundlagen der Berechnung'!B23</f>
        <v>480</v>
      </c>
      <c r="D10" s="29">
        <f>'Grundlagen der Berechnung'!B23</f>
        <v>480</v>
      </c>
      <c r="E10" s="29">
        <f>'Grundlagen der Berechnung'!B23</f>
        <v>480</v>
      </c>
      <c r="F10" s="29">
        <f>'Grundlagen der Berechnung'!B23</f>
        <v>480</v>
      </c>
      <c r="G10" s="29">
        <f>'Grundlagen der Berechnung'!B23</f>
        <v>480</v>
      </c>
      <c r="H10" s="30">
        <f>'[1]Grundlagen (22)'!B23*0</f>
        <v>0</v>
      </c>
    </row>
    <row r="11" spans="1:15" s="1" customFormat="1" ht="20.100000000000001" customHeight="1" x14ac:dyDescent="0.25">
      <c r="A11" s="28" t="s">
        <v>69</v>
      </c>
      <c r="B11" s="29">
        <f>'Grundlagen der Berechnung'!B24</f>
        <v>0</v>
      </c>
      <c r="C11" s="29">
        <f>'Grundlagen der Berechnung'!B24</f>
        <v>0</v>
      </c>
      <c r="D11" s="29">
        <f>'Grundlagen der Berechnung'!B24</f>
        <v>0</v>
      </c>
      <c r="E11" s="29">
        <f>'Grundlagen der Berechnung'!B24</f>
        <v>0</v>
      </c>
      <c r="F11" s="29">
        <f>'Grundlagen der Berechnung'!B24</f>
        <v>0</v>
      </c>
      <c r="G11" s="29">
        <f>'Grundlagen der Berechnung'!B24</f>
        <v>0</v>
      </c>
      <c r="H11" s="30">
        <f>'[1]Grundlagen (22)'!B24/5*F28</f>
        <v>0</v>
      </c>
    </row>
    <row r="12" spans="1:15" s="1" customFormat="1" ht="20.100000000000001" customHeight="1" x14ac:dyDescent="0.25">
      <c r="A12" s="37" t="s">
        <v>55</v>
      </c>
      <c r="B12" s="38">
        <f t="shared" ref="B12:H12" si="1">SUM(B6+B7+B11)</f>
        <v>33572.928125000006</v>
      </c>
      <c r="C12" s="38">
        <f t="shared" si="1"/>
        <v>39246.625</v>
      </c>
      <c r="D12" s="38">
        <f t="shared" si="1"/>
        <v>43640.540624999994</v>
      </c>
      <c r="E12" s="38">
        <f t="shared" si="1"/>
        <v>45730.850000000006</v>
      </c>
      <c r="F12" s="38">
        <f t="shared" si="1"/>
        <v>46989.301562500004</v>
      </c>
      <c r="G12" s="38">
        <f t="shared" si="1"/>
        <v>47885.1484375</v>
      </c>
      <c r="H12" s="39">
        <f t="shared" si="1"/>
        <v>28506.499999999996</v>
      </c>
    </row>
    <row r="13" spans="1:15" s="1" customFormat="1" ht="20.100000000000001" customHeight="1" x14ac:dyDescent="0.25">
      <c r="A13" s="32" t="s">
        <v>14</v>
      </c>
      <c r="B13" s="33">
        <f>(B12*'Grundlagen der Berechnung'!D4)+(B12*'Grundlagen der Berechnung'!D5)</f>
        <v>2669.0477859375001</v>
      </c>
      <c r="C13" s="33">
        <f>(C12*'Grundlagen der Berechnung'!D4)+(C12*'Grundlagen der Berechnung'!D5)</f>
        <v>3120.1066874999997</v>
      </c>
      <c r="D13" s="33">
        <f>(D12*'Grundlagen der Berechnung'!D4)+(D12*'Grundlagen der Berechnung'!D5)</f>
        <v>3469.4229796874993</v>
      </c>
      <c r="E13" s="33">
        <f>(E12*'Grundlagen der Berechnung'!D4)+(E12*'Grundlagen der Berechnung'!D5)</f>
        <v>3635.6025750000003</v>
      </c>
      <c r="F13" s="33">
        <f>(F12*'Grundlagen der Berechnung'!D4)+(F12*'Grundlagen der Berechnung'!D5)</f>
        <v>3735.6494742187501</v>
      </c>
      <c r="G13" s="33">
        <f>(G12*'Grundlagen der Berechnung'!D4)+(G12*'Grundlagen der Berechnung'!D5)</f>
        <v>3806.8693007812499</v>
      </c>
      <c r="H13" s="34">
        <f>(H12*'Grundlagen der Berechnung'!D4)+(H12*'Grundlagen der Berechnung'!D5)</f>
        <v>2266.2667499999998</v>
      </c>
    </row>
    <row r="14" spans="1:15" s="1" customFormat="1" ht="20.100000000000001" customHeight="1" x14ac:dyDescent="0.25">
      <c r="A14" s="32" t="s">
        <v>17</v>
      </c>
      <c r="B14" s="33">
        <f>B12*'Grundlagen der Berechnung'!D6</f>
        <v>3122.2823156250006</v>
      </c>
      <c r="C14" s="33">
        <f>C12*'Grundlagen der Berechnung'!D6</f>
        <v>3649.9361250000002</v>
      </c>
      <c r="D14" s="33">
        <f>D12*'Grundlagen der Berechnung'!D6</f>
        <v>4058.5702781249993</v>
      </c>
      <c r="E14" s="33">
        <f>E12*'Grundlagen der Berechnung'!D6</f>
        <v>4252.9690500000006</v>
      </c>
      <c r="F14" s="33">
        <f>F12*'Grundlagen der Berechnung'!D6</f>
        <v>4370.0050453125004</v>
      </c>
      <c r="G14" s="33">
        <f>G12*'Grundlagen der Berechnung'!D6</f>
        <v>4453.3188046875002</v>
      </c>
      <c r="H14" s="34">
        <f>H12*'Grundlagen der Berechnung'!D6</f>
        <v>2651.1044999999995</v>
      </c>
    </row>
    <row r="15" spans="1:15" s="1" customFormat="1" ht="20.100000000000001" customHeight="1" x14ac:dyDescent="0.25">
      <c r="A15" s="32" t="s">
        <v>18</v>
      </c>
      <c r="B15" s="33">
        <f>B12*'Grundlagen der Berechnung'!D7</f>
        <v>402.87513750000005</v>
      </c>
      <c r="C15" s="33">
        <f>C12*'Grundlagen der Berechnung'!D7</f>
        <v>470.95949999999999</v>
      </c>
      <c r="D15" s="33">
        <f>D12*'Grundlagen der Berechnung'!D7</f>
        <v>523.68648749999988</v>
      </c>
      <c r="E15" s="33">
        <f>E12*'Grundlagen der Berechnung'!D7</f>
        <v>548.77020000000005</v>
      </c>
      <c r="F15" s="33">
        <f>F12*'Grundlagen der Berechnung'!D7</f>
        <v>563.87161875000004</v>
      </c>
      <c r="G15" s="33">
        <f>G12*'Grundlagen der Berechnung'!D7</f>
        <v>574.62178125000003</v>
      </c>
      <c r="H15" s="34">
        <f>H12*'Grundlagen der Berechnung'!D7</f>
        <v>342.07799999999997</v>
      </c>
    </row>
    <row r="16" spans="1:15" s="1" customFormat="1" ht="20.100000000000001" customHeight="1" x14ac:dyDescent="0.25">
      <c r="A16" s="32" t="s">
        <v>59</v>
      </c>
      <c r="B16" s="33">
        <f>B12*'Grundlagen der Berechnung'!D8</f>
        <v>511.98715390625006</v>
      </c>
      <c r="C16" s="33">
        <f>C12*'Grundlagen der Berechnung'!D8</f>
        <v>598.51103124999997</v>
      </c>
      <c r="D16" s="33">
        <f>D12*'Grundlagen der Berechnung'!D8</f>
        <v>665.51824453124993</v>
      </c>
      <c r="E16" s="33">
        <f>E12*'Grundlagen der Berechnung'!D8</f>
        <v>697.39546250000012</v>
      </c>
      <c r="F16" s="33">
        <f>F12*'Grundlagen der Berechnung'!D8</f>
        <v>716.58684882812508</v>
      </c>
      <c r="G16" s="33">
        <f>G12*'Grundlagen der Berechnung'!D8</f>
        <v>730.248513671875</v>
      </c>
      <c r="H16" s="34">
        <f>H12*'Grundlagen der Berechnung'!D8</f>
        <v>434.72412499999996</v>
      </c>
    </row>
    <row r="17" spans="1:12" s="1" customFormat="1" ht="20.100000000000001" customHeight="1" x14ac:dyDescent="0.25">
      <c r="A17" s="32" t="s">
        <v>60</v>
      </c>
      <c r="B17" s="33">
        <f>B12*'Grundlagen der Berechnung'!D10</f>
        <v>1040.7607718750003</v>
      </c>
      <c r="C17" s="33">
        <f>C12*'Grundlagen der Berechnung'!D10</f>
        <v>1216.6453750000001</v>
      </c>
      <c r="D17" s="33">
        <f>D12*'Grundlagen der Berechnung'!D10</f>
        <v>1352.8567593749999</v>
      </c>
      <c r="E17" s="33">
        <f>E12*'Grundlagen der Berechnung'!D10</f>
        <v>1417.6563500000002</v>
      </c>
      <c r="F17" s="33">
        <f>F12*'Grundlagen der Berechnung'!D10</f>
        <v>1456.6683484375001</v>
      </c>
      <c r="G17" s="33">
        <f>G12*'Grundlagen der Berechnung'!D10</f>
        <v>1484.4396015625</v>
      </c>
      <c r="H17" s="34">
        <f>H12*'Grundlagen der Berechnung'!D10</f>
        <v>883.7014999999999</v>
      </c>
    </row>
    <row r="18" spans="1:12" s="1" customFormat="1" ht="20.100000000000001" customHeight="1" x14ac:dyDescent="0.25">
      <c r="A18" s="32" t="s">
        <v>61</v>
      </c>
      <c r="B18" s="33">
        <f>B12*'Grundlagen der Berechnung'!D11</f>
        <v>198.08027593750003</v>
      </c>
      <c r="C18" s="33">
        <f>C12*'Grundlagen der Berechnung'!D11</f>
        <v>231.55508749999998</v>
      </c>
      <c r="D18" s="33">
        <f>D12*'Grundlagen der Berechnung'!D11</f>
        <v>257.47918968749997</v>
      </c>
      <c r="E18" s="33">
        <f>E12*'Grundlagen der Berechnung'!D11</f>
        <v>269.81201500000003</v>
      </c>
      <c r="F18" s="33">
        <f>F12*'Grundlagen der Berechnung'!D11</f>
        <v>277.23687921875</v>
      </c>
      <c r="G18" s="33">
        <f>G12*'Grundlagen der Berechnung'!D11</f>
        <v>282.52237578124999</v>
      </c>
      <c r="H18" s="34">
        <f>H12*'Grundlagen der Berechnung'!D11</f>
        <v>168.18834999999999</v>
      </c>
    </row>
    <row r="19" spans="1:12" s="1" customFormat="1" ht="20.100000000000001" customHeight="1" x14ac:dyDescent="0.25">
      <c r="A19" s="32" t="s">
        <v>145</v>
      </c>
      <c r="B19" s="33">
        <f>B12*'Grundlagen der Berechnung'!D12</f>
        <v>30.215635312500005</v>
      </c>
      <c r="C19" s="33">
        <f>C12*'Grundlagen der Berechnung'!D12</f>
        <v>35.321962499999998</v>
      </c>
      <c r="D19" s="33">
        <f>D12*'Grundlagen der Berechnung'!D12</f>
        <v>39.276486562499997</v>
      </c>
      <c r="E19" s="33">
        <f>E12*'Grundlagen der Berechnung'!D12</f>
        <v>41.157765000000005</v>
      </c>
      <c r="F19" s="33">
        <f>F12*'Grundlagen der Berechnung'!D12</f>
        <v>42.290371406250003</v>
      </c>
      <c r="G19" s="33">
        <f>G12*'Grundlagen der Berechnung'!D12</f>
        <v>43.096633593749999</v>
      </c>
      <c r="H19" s="33">
        <f>H12*'Grundlagen der Berechnung'!D12</f>
        <v>25.655849999999997</v>
      </c>
    </row>
    <row r="20" spans="1:12" s="1" customFormat="1" ht="20.100000000000001" customHeight="1" x14ac:dyDescent="0.25">
      <c r="A20" s="32" t="s">
        <v>62</v>
      </c>
      <c r="B20" s="33">
        <f>B12*'Grundlagen der Berechnung'!D13</f>
        <v>815.68786172500018</v>
      </c>
      <c r="C20" s="33">
        <f>C12*'Grundlagen der Berechnung'!D13</f>
        <v>953.53600100000006</v>
      </c>
      <c r="D20" s="33">
        <f>D12*'Grundlagen der Berechnung'!D13</f>
        <v>1060.290575025</v>
      </c>
      <c r="E20" s="33">
        <f>E12*'Grundlagen der Berechnung'!D13</f>
        <v>1111.0767316000001</v>
      </c>
      <c r="F20" s="33">
        <f>F12*'Grundlagen der Berechnung'!D13</f>
        <v>1141.6520707625002</v>
      </c>
      <c r="G20" s="33">
        <f>G12*'Grundlagen der Berechnung'!D13</f>
        <v>1163.4175664375</v>
      </c>
      <c r="H20" s="34">
        <f>H12*'Grundlagen der Berechnung'!D13</f>
        <v>692.5939239999999</v>
      </c>
    </row>
    <row r="21" spans="1:12" s="1" customFormat="1" ht="20.100000000000001" customHeight="1" x14ac:dyDescent="0.25">
      <c r="A21" s="40" t="s">
        <v>64</v>
      </c>
      <c r="B21" s="41">
        <f t="shared" ref="B21:G21" si="2">SUM(B13:B20)</f>
        <v>8790.9369378187512</v>
      </c>
      <c r="C21" s="41">
        <f t="shared" si="2"/>
        <v>10276.571769750002</v>
      </c>
      <c r="D21" s="41">
        <f t="shared" si="2"/>
        <v>11427.101000493747</v>
      </c>
      <c r="E21" s="41">
        <f t="shared" si="2"/>
        <v>11974.440149100001</v>
      </c>
      <c r="F21" s="41">
        <f t="shared" si="2"/>
        <v>12303.960656934376</v>
      </c>
      <c r="G21" s="41">
        <f t="shared" si="2"/>
        <v>12538.534577765626</v>
      </c>
      <c r="H21" s="42">
        <f>SUM(H13:H20)</f>
        <v>7464.3129989999998</v>
      </c>
    </row>
    <row r="22" spans="1:12" s="1" customFormat="1" ht="20.100000000000001" customHeight="1" x14ac:dyDescent="0.25">
      <c r="A22" s="43" t="s">
        <v>63</v>
      </c>
      <c r="B22" s="44">
        <f>B12*'Grundlagen der Berechnung'!Q13-400</f>
        <v>842.19834062500013</v>
      </c>
      <c r="C22" s="44">
        <f>C12*'Grundlagen der Berechnung'!Q13-400</f>
        <v>1052.125125</v>
      </c>
      <c r="D22" s="44">
        <f>D12*'Grundlagen der Berechnung'!Q13-400</f>
        <v>1214.7000031249997</v>
      </c>
      <c r="E22" s="44">
        <f>E12*'Grundlagen der Berechnung'!Q13-400</f>
        <v>1292.0414500000002</v>
      </c>
      <c r="F22" s="44">
        <f>F12*'Grundlagen der Berechnung'!Q13-400</f>
        <v>1338.6041578125</v>
      </c>
      <c r="G22" s="44">
        <f>G12*'Grundlagen der Berechnung'!Q13-400</f>
        <v>1371.7504921875</v>
      </c>
      <c r="H22" s="45">
        <f>H12*'Grundlagen der Berechnung'!Q13-400</f>
        <v>654.74049999999988</v>
      </c>
    </row>
    <row r="23" spans="1:12" s="1" customFormat="1" ht="20.100000000000001" customHeight="1" x14ac:dyDescent="0.25">
      <c r="A23" s="43" t="s">
        <v>114</v>
      </c>
      <c r="B23" s="44">
        <f>'Grundlagen der Berechnung'!H28</f>
        <v>1000</v>
      </c>
      <c r="C23" s="44">
        <f>'Grundlagen der Berechnung'!H28</f>
        <v>1000</v>
      </c>
      <c r="D23" s="44">
        <f>'Grundlagen der Berechnung'!H28</f>
        <v>1000</v>
      </c>
      <c r="E23" s="44">
        <f>'Grundlagen der Berechnung'!H28</f>
        <v>1000</v>
      </c>
      <c r="F23" s="44">
        <f>'Grundlagen der Berechnung'!H28</f>
        <v>1000</v>
      </c>
      <c r="G23" s="44">
        <f>'Grundlagen der Berechnung'!H28</f>
        <v>1000</v>
      </c>
      <c r="H23" s="44">
        <f>'Grundlagen der Berechnung'!N28/12*2</f>
        <v>0</v>
      </c>
    </row>
    <row r="24" spans="1:12" s="1" customFormat="1" ht="20.100000000000001" customHeight="1" x14ac:dyDescent="0.25">
      <c r="A24" s="75" t="s">
        <v>56</v>
      </c>
      <c r="B24" s="76">
        <f t="shared" ref="B24:H24" si="3">SUM(B6:B11)+B21+B22+B23</f>
        <v>46732.063403443761</v>
      </c>
      <c r="C24" s="76">
        <f t="shared" si="3"/>
        <v>54101.321894749999</v>
      </c>
      <c r="D24" s="76">
        <f t="shared" si="3"/>
        <v>59808.341628618742</v>
      </c>
      <c r="E24" s="76">
        <f t="shared" si="3"/>
        <v>62523.331599100005</v>
      </c>
      <c r="F24" s="76">
        <f t="shared" si="3"/>
        <v>64157.866377246879</v>
      </c>
      <c r="G24" s="76">
        <f t="shared" si="3"/>
        <v>65321.433507453126</v>
      </c>
      <c r="H24" s="76">
        <f t="shared" si="3"/>
        <v>36625.553498999994</v>
      </c>
    </row>
    <row r="25" spans="1:12" s="1" customFormat="1" ht="20.100000000000001" customHeight="1" x14ac:dyDescent="0.25">
      <c r="A25" s="77" t="s">
        <v>57</v>
      </c>
      <c r="B25" s="35">
        <f t="shared" ref="B25:H25" si="4">B24/12</f>
        <v>3894.3386169536466</v>
      </c>
      <c r="C25" s="35">
        <f t="shared" si="4"/>
        <v>4508.4434912291663</v>
      </c>
      <c r="D25" s="35">
        <f t="shared" si="4"/>
        <v>4984.0284690515618</v>
      </c>
      <c r="E25" s="35">
        <f t="shared" si="4"/>
        <v>5210.2776332583335</v>
      </c>
      <c r="F25" s="35">
        <f t="shared" si="4"/>
        <v>5346.4888647705729</v>
      </c>
      <c r="G25" s="35">
        <f t="shared" si="4"/>
        <v>5443.4527922877605</v>
      </c>
      <c r="H25" s="36">
        <f t="shared" si="4"/>
        <v>3052.1294582499995</v>
      </c>
    </row>
    <row r="26" spans="1:12" s="1" customFormat="1" ht="20.100000000000001" customHeight="1" thickBot="1" x14ac:dyDescent="0.3">
      <c r="A26" s="78" t="s">
        <v>72</v>
      </c>
      <c r="B26" s="79">
        <f>B24/'[1]Grundlagen (22)'!H7*7</f>
        <v>896.23135294275698</v>
      </c>
      <c r="C26" s="79">
        <f>C24/'[1]Grundlagen (22)'!H7*7</f>
        <v>1037.5595979815068</v>
      </c>
      <c r="D26" s="79">
        <f>D24/'[1]Grundlagen (22)'!H7*7</f>
        <v>1147.0092915077566</v>
      </c>
      <c r="E26" s="79">
        <f>E24/'[1]Grundlagen (22)'!H7*7</f>
        <v>1199.077592311507</v>
      </c>
      <c r="F26" s="79">
        <f>F24/'[1]Grundlagen (22)'!H7*7</f>
        <v>1230.4248346321319</v>
      </c>
      <c r="G26" s="79">
        <f>G24/'[1]Grundlagen (22)'!H7*7</f>
        <v>1252.7398206908817</v>
      </c>
      <c r="H26" s="80">
        <f>H24/'[1]Grundlagen (22)'!H7*7</f>
        <v>702.40787532328761</v>
      </c>
    </row>
    <row r="27" spans="1:12" s="1" customFormat="1" ht="20.100000000000001" customHeight="1" thickBot="1" x14ac:dyDescent="0.3">
      <c r="A27" s="81" t="s">
        <v>83</v>
      </c>
      <c r="B27" s="294" t="s">
        <v>95</v>
      </c>
      <c r="C27" s="294"/>
      <c r="D27" s="295"/>
      <c r="E27" s="25"/>
      <c r="F27" s="23"/>
      <c r="G27" s="23"/>
      <c r="H27" s="23"/>
    </row>
    <row r="28" spans="1:12" s="1" customFormat="1" ht="20.100000000000001" customHeight="1" x14ac:dyDescent="0.25">
      <c r="A28" s="47" t="s">
        <v>16</v>
      </c>
      <c r="B28" s="48">
        <f>'Grundlagen der Berechnung'!H5-B29</f>
        <v>206</v>
      </c>
      <c r="C28" s="48">
        <f>'Grundlagen der Berechnung'!H5-C29</f>
        <v>206</v>
      </c>
      <c r="D28" s="48">
        <f>'Grundlagen der Berechnung'!H5-D29</f>
        <v>206</v>
      </c>
      <c r="E28" s="48">
        <f>'Grundlagen der Berechnung'!H5-E29</f>
        <v>204</v>
      </c>
      <c r="F28" s="48">
        <f>'Grundlagen der Berechnung'!H5-F29</f>
        <v>204</v>
      </c>
      <c r="G28" s="48">
        <f>'Grundlagen der Berechnung'!H5-G29</f>
        <v>204</v>
      </c>
      <c r="H28" s="49">
        <f>'Grundlagen der Berechnung'!H5-H29</f>
        <v>218</v>
      </c>
    </row>
    <row r="29" spans="1:12" s="1" customFormat="1" ht="20.100000000000001" customHeight="1" x14ac:dyDescent="0.25">
      <c r="A29" s="46" t="s">
        <v>75</v>
      </c>
      <c r="B29" s="50">
        <f>'Grundlagen der Berechnung'!D18</f>
        <v>43</v>
      </c>
      <c r="C29" s="51">
        <f>'Grundlagen der Berechnung'!D18</f>
        <v>43</v>
      </c>
      <c r="D29" s="51">
        <f>'Grundlagen der Berechnung'!D18</f>
        <v>43</v>
      </c>
      <c r="E29" s="51">
        <f>'Grundlagen der Berechnung'!D19</f>
        <v>45</v>
      </c>
      <c r="F29" s="52">
        <f>'Grundlagen der Berechnung'!D19</f>
        <v>45</v>
      </c>
      <c r="G29" s="52">
        <f>'Grundlagen der Berechnung'!D19</f>
        <v>45</v>
      </c>
      <c r="H29" s="53">
        <f>'Grundlagen der Berechnung'!D17</f>
        <v>31</v>
      </c>
    </row>
    <row r="30" spans="1:12" s="1" customFormat="1" ht="20.100000000000001" customHeight="1" thickBot="1" x14ac:dyDescent="0.3">
      <c r="A30" s="54" t="s">
        <v>84</v>
      </c>
      <c r="B30" s="55">
        <f t="shared" ref="B30:H30" si="5">B21/B28</f>
        <v>42.674451154459959</v>
      </c>
      <c r="C30" s="55">
        <f t="shared" si="5"/>
        <v>49.88627072694176</v>
      </c>
      <c r="D30" s="55">
        <f t="shared" si="5"/>
        <v>55.471364080066735</v>
      </c>
      <c r="E30" s="55">
        <f t="shared" si="5"/>
        <v>58.698236025000007</v>
      </c>
      <c r="F30" s="55">
        <f t="shared" si="5"/>
        <v>60.313532632031254</v>
      </c>
      <c r="G30" s="55">
        <f t="shared" si="5"/>
        <v>61.463404792968753</v>
      </c>
      <c r="H30" s="56">
        <f t="shared" si="5"/>
        <v>34.2399678853211</v>
      </c>
    </row>
    <row r="31" spans="1:12" s="1" customFormat="1" ht="20.100000000000001" customHeight="1" thickBot="1" x14ac:dyDescent="0.3">
      <c r="A31" s="296" t="s">
        <v>87</v>
      </c>
      <c r="B31" s="297"/>
      <c r="C31" s="23"/>
      <c r="D31" s="23"/>
      <c r="E31" s="23"/>
      <c r="F31" s="23"/>
      <c r="G31" s="23"/>
      <c r="H31" s="23"/>
    </row>
    <row r="32" spans="1:12" s="1" customFormat="1" ht="20.100000000000001" customHeight="1" x14ac:dyDescent="0.25">
      <c r="A32" s="57" t="s">
        <v>72</v>
      </c>
      <c r="B32" s="58">
        <f t="shared" ref="B32:H32" si="6">B26</f>
        <v>896.23135294275698</v>
      </c>
      <c r="C32" s="58">
        <f t="shared" si="6"/>
        <v>1037.5595979815068</v>
      </c>
      <c r="D32" s="58">
        <f t="shared" si="6"/>
        <v>1147.0092915077566</v>
      </c>
      <c r="E32" s="58">
        <f t="shared" si="6"/>
        <v>1199.077592311507</v>
      </c>
      <c r="F32" s="58">
        <f t="shared" si="6"/>
        <v>1230.4248346321319</v>
      </c>
      <c r="G32" s="58">
        <f t="shared" si="6"/>
        <v>1252.7398206908817</v>
      </c>
      <c r="H32" s="59">
        <f t="shared" si="6"/>
        <v>702.40787532328761</v>
      </c>
      <c r="I32" s="26"/>
      <c r="J32" s="27"/>
      <c r="K32" s="27"/>
      <c r="L32" s="27"/>
    </row>
    <row r="33" spans="1:12" s="1" customFormat="1" ht="20.100000000000001" customHeight="1" x14ac:dyDescent="0.25">
      <c r="A33" s="60" t="s">
        <v>82</v>
      </c>
      <c r="B33" s="61">
        <f t="shared" ref="B33:H33" si="7">B30*5</f>
        <v>213.37225577229981</v>
      </c>
      <c r="C33" s="61">
        <f t="shared" si="7"/>
        <v>249.43135363470878</v>
      </c>
      <c r="D33" s="61">
        <f t="shared" si="7"/>
        <v>277.35682040033367</v>
      </c>
      <c r="E33" s="61">
        <f t="shared" si="7"/>
        <v>293.49118012500003</v>
      </c>
      <c r="F33" s="61">
        <f t="shared" si="7"/>
        <v>301.56766316015626</v>
      </c>
      <c r="G33" s="61">
        <f t="shared" si="7"/>
        <v>307.31702396484377</v>
      </c>
      <c r="H33" s="62">
        <f t="shared" si="7"/>
        <v>171.19983942660551</v>
      </c>
    </row>
    <row r="34" spans="1:12" s="1" customFormat="1" ht="20.100000000000001" customHeight="1" x14ac:dyDescent="0.25">
      <c r="A34" s="60" t="s">
        <v>71</v>
      </c>
      <c r="B34" s="61">
        <f t="shared" ref="B34:H34" si="8">B32+B33</f>
        <v>1109.6036087150569</v>
      </c>
      <c r="C34" s="61">
        <f t="shared" si="8"/>
        <v>1286.9909516162156</v>
      </c>
      <c r="D34" s="61">
        <f t="shared" si="8"/>
        <v>1424.3661119080903</v>
      </c>
      <c r="E34" s="61">
        <f t="shared" si="8"/>
        <v>1492.5687724365071</v>
      </c>
      <c r="F34" s="61">
        <f t="shared" si="8"/>
        <v>1531.9924977922883</v>
      </c>
      <c r="G34" s="61">
        <f t="shared" si="8"/>
        <v>1560.0568446557254</v>
      </c>
      <c r="H34" s="62">
        <f t="shared" si="8"/>
        <v>873.60771474989315</v>
      </c>
      <c r="I34" s="26"/>
      <c r="J34" s="27"/>
      <c r="K34" s="27"/>
      <c r="L34" s="27"/>
    </row>
    <row r="35" spans="1:12" s="1" customFormat="1" ht="20.100000000000001" customHeight="1" x14ac:dyDescent="0.25">
      <c r="A35" s="60" t="s">
        <v>66</v>
      </c>
      <c r="B35" s="61">
        <f>B34*'[1]Grundlagen (22)'!Q14</f>
        <v>210.8246856558608</v>
      </c>
      <c r="C35" s="61">
        <f>C34*'[1]Grundlagen (22)'!Q14</f>
        <v>244.52828080708096</v>
      </c>
      <c r="D35" s="61">
        <f>D34*'[1]Grundlagen (22)'!Q14</f>
        <v>270.62956126253715</v>
      </c>
      <c r="E35" s="61">
        <f>E34*'[1]Grundlagen (22)'!Q14</f>
        <v>283.58806676293636</v>
      </c>
      <c r="F35" s="61">
        <f>F34*'[1]Grundlagen (22)'!Q14</f>
        <v>291.07857458053479</v>
      </c>
      <c r="G35" s="61">
        <f>G34*'[1]Grundlagen (22)'!Q14</f>
        <v>296.41080048458781</v>
      </c>
      <c r="H35" s="62">
        <f>H34*'[1]Grundlagen (22)'!Q14</f>
        <v>165.98546580247969</v>
      </c>
    </row>
    <row r="36" spans="1:12" s="1" customFormat="1" ht="20.100000000000001" customHeight="1" x14ac:dyDescent="0.25">
      <c r="A36" s="63" t="s">
        <v>85</v>
      </c>
      <c r="B36" s="64">
        <f t="shared" ref="B36:H36" si="9">B34+B35</f>
        <v>1320.4282943709177</v>
      </c>
      <c r="C36" s="64">
        <f t="shared" si="9"/>
        <v>1531.5192324232967</v>
      </c>
      <c r="D36" s="64">
        <f t="shared" si="9"/>
        <v>1694.9956731706275</v>
      </c>
      <c r="E36" s="64">
        <f t="shared" si="9"/>
        <v>1776.1568391994433</v>
      </c>
      <c r="F36" s="64">
        <f t="shared" si="9"/>
        <v>1823.071072372823</v>
      </c>
      <c r="G36" s="64">
        <f t="shared" si="9"/>
        <v>1856.4676451403132</v>
      </c>
      <c r="H36" s="65">
        <f t="shared" si="9"/>
        <v>1039.5931805523728</v>
      </c>
    </row>
    <row r="37" spans="1:12" s="1" customFormat="1" ht="20.100000000000001" customHeight="1" x14ac:dyDescent="0.25">
      <c r="A37" s="66" t="s">
        <v>58</v>
      </c>
      <c r="B37" s="67">
        <f>B34/5</f>
        <v>221.92072174301137</v>
      </c>
      <c r="C37" s="67">
        <f t="shared" ref="C37:H39" si="10">C34/5</f>
        <v>257.39819032324311</v>
      </c>
      <c r="D37" s="67">
        <f t="shared" si="10"/>
        <v>284.87322238161806</v>
      </c>
      <c r="E37" s="67">
        <f t="shared" si="10"/>
        <v>298.51375448730141</v>
      </c>
      <c r="F37" s="67">
        <f t="shared" si="10"/>
        <v>306.39849955845767</v>
      </c>
      <c r="G37" s="67">
        <f t="shared" si="10"/>
        <v>312.01136893114506</v>
      </c>
      <c r="H37" s="68">
        <f t="shared" si="10"/>
        <v>174.72154294997864</v>
      </c>
    </row>
    <row r="38" spans="1:12" x14ac:dyDescent="0.25">
      <c r="A38" s="66" t="s">
        <v>66</v>
      </c>
      <c r="B38" s="67">
        <f>B35/5</f>
        <v>42.164937131172159</v>
      </c>
      <c r="C38" s="67">
        <f t="shared" si="10"/>
        <v>48.905656161416189</v>
      </c>
      <c r="D38" s="67">
        <f t="shared" si="10"/>
        <v>54.125912252507433</v>
      </c>
      <c r="E38" s="67">
        <f t="shared" si="10"/>
        <v>56.717613352587271</v>
      </c>
      <c r="F38" s="67">
        <f t="shared" si="10"/>
        <v>58.215714916106961</v>
      </c>
      <c r="G38" s="67">
        <f t="shared" si="10"/>
        <v>59.282160096917565</v>
      </c>
      <c r="H38" s="68">
        <f t="shared" si="10"/>
        <v>33.197093160495939</v>
      </c>
    </row>
    <row r="39" spans="1:12" s="1" customFormat="1" ht="20.100000000000001" customHeight="1" thickBot="1" x14ac:dyDescent="0.3">
      <c r="A39" s="69" t="s">
        <v>86</v>
      </c>
      <c r="B39" s="70">
        <f>B36/5</f>
        <v>264.08565887418354</v>
      </c>
      <c r="C39" s="70">
        <f t="shared" si="10"/>
        <v>306.30384648465935</v>
      </c>
      <c r="D39" s="70">
        <f t="shared" si="10"/>
        <v>338.99913463412548</v>
      </c>
      <c r="E39" s="70">
        <f t="shared" si="10"/>
        <v>355.23136783988866</v>
      </c>
      <c r="F39" s="70">
        <f t="shared" si="10"/>
        <v>364.61421447456462</v>
      </c>
      <c r="G39" s="70">
        <f t="shared" si="10"/>
        <v>371.29352902806261</v>
      </c>
      <c r="H39" s="71">
        <f>'[1]Lohnkosten (22'!H37</f>
        <v>205.56005766593708</v>
      </c>
    </row>
  </sheetData>
  <sheetProtection algorithmName="SHA-512" hashValue="9nXukn0BKRBLvN9I7JJWzx6SebYNINCbUQfPszPTgepm9tFFvYquApv6agDYepaOklPuLSEDMPXMALicJ7jr/A==" saltValue="Cg6YXEPaniW8UImJrFZihA==" spinCount="100000" sheet="1" objects="1" scenarios="1"/>
  <customSheetViews>
    <customSheetView guid="{8DF5D7FA-E457-40BC-86A9-0D5010326E28}" scale="120" topLeftCell="A4">
      <selection activeCell="A11" sqref="A11:XFD11"/>
      <pageMargins left="0.7" right="0.7" top="0.78740157499999996" bottom="0.78740157499999996" header="0.3" footer="0.3"/>
    </customSheetView>
  </customSheetViews>
  <mergeCells count="2">
    <mergeCell ref="B27:D27"/>
    <mergeCell ref="A31:B31"/>
  </mergeCells>
  <pageMargins left="0.7" right="0.7" top="0.78740157499999996" bottom="0.78740157499999996" header="0.3" footer="0.3"/>
  <pageSetup paperSize="8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58002-8005-45D7-A0E2-33B56688340E}">
  <sheetPr>
    <pageSetUpPr fitToPage="1"/>
  </sheetPr>
  <dimension ref="A1:O39"/>
  <sheetViews>
    <sheetView zoomScaleNormal="100" workbookViewId="0"/>
  </sheetViews>
  <sheetFormatPr baseColWidth="10" defaultRowHeight="15" x14ac:dyDescent="0.25"/>
  <cols>
    <col min="1" max="1" width="30.42578125" customWidth="1"/>
  </cols>
  <sheetData>
    <row r="1" spans="1:15" ht="20.100000000000001" customHeight="1" thickBot="1" x14ac:dyDescent="0.3">
      <c r="A1" s="74" t="s">
        <v>113</v>
      </c>
      <c r="B1" s="19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ht="20.100000000000001" customHeight="1" thickBot="1" x14ac:dyDescent="0.3">
      <c r="A2" s="24" t="s">
        <v>81</v>
      </c>
      <c r="B2" s="19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ht="20.100000000000001" customHeight="1" x14ac:dyDescent="0.25">
      <c r="A3" s="72" t="s">
        <v>43</v>
      </c>
      <c r="B3" s="73" t="s">
        <v>44</v>
      </c>
      <c r="C3" s="73" t="s">
        <v>45</v>
      </c>
      <c r="D3" s="73" t="s">
        <v>46</v>
      </c>
      <c r="E3" s="73" t="s">
        <v>47</v>
      </c>
      <c r="F3" s="73" t="s">
        <v>48</v>
      </c>
      <c r="G3" s="73" t="s">
        <v>94</v>
      </c>
      <c r="H3" s="82" t="s">
        <v>77</v>
      </c>
      <c r="I3" s="1"/>
      <c r="J3" s="1"/>
      <c r="K3" s="1"/>
      <c r="L3" s="1"/>
    </row>
    <row r="4" spans="1:15" s="1" customFormat="1" ht="20.100000000000001" customHeight="1" x14ac:dyDescent="0.25">
      <c r="A4" s="28" t="s">
        <v>49</v>
      </c>
      <c r="B4" s="29">
        <f>'Grundlagen der Berechnung'!H27</f>
        <v>15.61</v>
      </c>
      <c r="C4" s="29">
        <f>'Grundlagen der Berechnung'!I27</f>
        <v>18.239999999999998</v>
      </c>
      <c r="D4" s="29">
        <f>'Grundlagen der Berechnung'!J27</f>
        <v>20.29</v>
      </c>
      <c r="E4" s="29">
        <f>'Grundlagen der Berechnung'!K27</f>
        <v>21.26</v>
      </c>
      <c r="F4" s="29">
        <f>'Grundlagen der Berechnung'!L27</f>
        <v>21.84</v>
      </c>
      <c r="G4" s="29">
        <f>'Grundlagen der Berechnung'!M27</f>
        <v>22.24</v>
      </c>
      <c r="H4" s="29">
        <f>'Grundlagen der Berechnung'!N27</f>
        <v>14.2</v>
      </c>
    </row>
    <row r="5" spans="1:15" s="1" customFormat="1" ht="20.100000000000001" customHeight="1" x14ac:dyDescent="0.25">
      <c r="A5" s="28" t="s">
        <v>50</v>
      </c>
      <c r="B5" s="29">
        <f>B4*'Grundlagen der Berechnung'!Q12/7*'Grundlagen der Berechnung'!H7/12</f>
        <v>2611.4229166666669</v>
      </c>
      <c r="C5" s="29">
        <f>C4*'Grundlagen der Berechnung'!Q12/7*'Grundlagen der Berechnung'!H7/12</f>
        <v>3051.3999999999996</v>
      </c>
      <c r="D5" s="29">
        <f>D4*'Grundlagen der Berechnung'!Q12/7*'Grundlagen der Berechnung'!H7/12</f>
        <v>3394.3479166666671</v>
      </c>
      <c r="E5" s="29">
        <f>E4*'Grundlagen der Berechnung'!Q12/7*'Grundlagen der Berechnung'!H7/12</f>
        <v>3556.6208333333338</v>
      </c>
      <c r="F5" s="29">
        <f>F4*'Grundlagen der Berechnung'!Q12/7*'Grundlagen der Berechnung'!H7/12</f>
        <v>3653.65</v>
      </c>
      <c r="G5" s="29">
        <f>G4*'Grundlagen der Berechnung'!Q12/7*'Grundlagen der Berechnung'!H7/12</f>
        <v>3720.5666666666662</v>
      </c>
      <c r="H5" s="30">
        <f>H4*'Grundlagen der Berechnung'!Q12/7*'Grundlagen der Berechnung'!H7/12</f>
        <v>2375.5416666666665</v>
      </c>
      <c r="J5" s="23"/>
      <c r="K5" s="23"/>
      <c r="L5" s="23"/>
      <c r="M5" s="23"/>
      <c r="N5" s="23"/>
      <c r="O5" s="23"/>
    </row>
    <row r="6" spans="1:15" s="1" customFormat="1" ht="20.100000000000001" customHeight="1" x14ac:dyDescent="0.25">
      <c r="A6" s="28" t="s">
        <v>51</v>
      </c>
      <c r="B6" s="29">
        <f>B4*'Grundlagen der Berechnung'!Q12/7*'Grundlagen der Berechnung'!H7</f>
        <v>31337.075000000001</v>
      </c>
      <c r="C6" s="29">
        <f>C4*'Grundlagen der Berechnung'!Q12/7*'Grundlagen der Berechnung'!H7</f>
        <v>36616.799999999996</v>
      </c>
      <c r="D6" s="29">
        <f>D4*'Grundlagen der Berechnung'!Q12/7*'Grundlagen der Berechnung'!H7</f>
        <v>40732.175000000003</v>
      </c>
      <c r="E6" s="29">
        <f>E4*'Grundlagen der Berechnung'!Q12/7*'Grundlagen der Berechnung'!H7</f>
        <v>42679.450000000004</v>
      </c>
      <c r="F6" s="29">
        <f>F4*'Grundlagen der Berechnung'!Q12/7*'Grundlagen der Berechnung'!H7</f>
        <v>43843.8</v>
      </c>
      <c r="G6" s="29">
        <f>G4*'Grundlagen der Berechnung'!Q12/7*'Grundlagen der Berechnung'!H7</f>
        <v>44646.799999999996</v>
      </c>
      <c r="H6" s="30">
        <f>H4*'Grundlagen der Berechnung'!Q12/7*'Grundlagen der Berechnung'!H7</f>
        <v>28506.499999999996</v>
      </c>
      <c r="J6" s="112"/>
      <c r="K6" s="112"/>
      <c r="L6" s="112"/>
      <c r="M6" s="112"/>
      <c r="N6" s="112"/>
      <c r="O6" s="112"/>
    </row>
    <row r="7" spans="1:15" s="1" customFormat="1" ht="20.100000000000001" customHeight="1" x14ac:dyDescent="0.25">
      <c r="A7" s="28" t="s">
        <v>52</v>
      </c>
      <c r="B7" s="29">
        <f t="shared" ref="B7:G7" si="0">B5*0.75</f>
        <v>1958.5671875000003</v>
      </c>
      <c r="C7" s="29">
        <f t="shared" si="0"/>
        <v>2288.5499999999997</v>
      </c>
      <c r="D7" s="29">
        <f t="shared" si="0"/>
        <v>2545.7609375000002</v>
      </c>
      <c r="E7" s="29">
        <f t="shared" si="0"/>
        <v>2667.4656250000003</v>
      </c>
      <c r="F7" s="31">
        <f t="shared" si="0"/>
        <v>2740.2375000000002</v>
      </c>
      <c r="G7" s="29">
        <f t="shared" si="0"/>
        <v>2790.4249999999997</v>
      </c>
      <c r="H7" s="30">
        <f>H5*0</f>
        <v>0</v>
      </c>
      <c r="J7" s="99"/>
      <c r="K7" s="23"/>
      <c r="L7" s="23"/>
    </row>
    <row r="8" spans="1:15" s="1" customFormat="1" ht="20.100000000000001" customHeight="1" x14ac:dyDescent="0.25">
      <c r="A8" s="28" t="s">
        <v>73</v>
      </c>
      <c r="B8" s="29">
        <f>'Grundlagen der Berechnung'!C16*12</f>
        <v>1752</v>
      </c>
      <c r="C8" s="29">
        <f>'Grundlagen der Berechnung'!C16*12</f>
        <v>1752</v>
      </c>
      <c r="D8" s="29">
        <f>'Grundlagen der Berechnung'!C16*12</f>
        <v>1752</v>
      </c>
      <c r="E8" s="29">
        <f>'Grundlagen der Berechnung'!C16*12</f>
        <v>1752</v>
      </c>
      <c r="F8" s="29">
        <f>'Grundlagen der Berechnung'!C16*12</f>
        <v>1752</v>
      </c>
      <c r="G8" s="29">
        <f>'Grundlagen der Berechnung'!C16*12</f>
        <v>1752</v>
      </c>
      <c r="H8" s="30">
        <f>'[1]Grundlagen (22)'!C16*12*0</f>
        <v>0</v>
      </c>
      <c r="J8" s="25"/>
      <c r="K8" s="23"/>
      <c r="L8" s="23"/>
    </row>
    <row r="9" spans="1:15" s="1" customFormat="1" ht="20.100000000000001" customHeight="1" x14ac:dyDescent="0.25">
      <c r="A9" s="28" t="s">
        <v>74</v>
      </c>
      <c r="B9" s="29">
        <f>'Grundlagen der Berechnung'!B22</f>
        <v>294</v>
      </c>
      <c r="C9" s="29">
        <f>'Grundlagen der Berechnung'!B22</f>
        <v>294</v>
      </c>
      <c r="D9" s="29">
        <f>'Grundlagen der Berechnung'!B22</f>
        <v>294</v>
      </c>
      <c r="E9" s="29">
        <f>'Grundlagen der Berechnung'!B22</f>
        <v>294</v>
      </c>
      <c r="F9" s="29">
        <f>'Grundlagen der Berechnung'!B22</f>
        <v>294</v>
      </c>
      <c r="G9" s="29">
        <f>'Grundlagen der Berechnung'!B22</f>
        <v>294</v>
      </c>
      <c r="H9" s="30">
        <f>'[1]Grundlagen (22)'!B22*0</f>
        <v>0</v>
      </c>
    </row>
    <row r="10" spans="1:15" s="1" customFormat="1" ht="20.100000000000001" customHeight="1" x14ac:dyDescent="0.25">
      <c r="A10" s="28" t="s">
        <v>54</v>
      </c>
      <c r="B10" s="29">
        <f>'Grundlagen der Berechnung'!B23</f>
        <v>480</v>
      </c>
      <c r="C10" s="29">
        <f>'Grundlagen der Berechnung'!B23</f>
        <v>480</v>
      </c>
      <c r="D10" s="29">
        <f>'Grundlagen der Berechnung'!B23</f>
        <v>480</v>
      </c>
      <c r="E10" s="29">
        <f>'Grundlagen der Berechnung'!B23</f>
        <v>480</v>
      </c>
      <c r="F10" s="29">
        <f>'Grundlagen der Berechnung'!B23</f>
        <v>480</v>
      </c>
      <c r="G10" s="29">
        <f>'Grundlagen der Berechnung'!B23</f>
        <v>480</v>
      </c>
      <c r="H10" s="30">
        <f>'[1]Grundlagen (22)'!B23*0</f>
        <v>0</v>
      </c>
    </row>
    <row r="11" spans="1:15" s="1" customFormat="1" ht="20.100000000000001" customHeight="1" x14ac:dyDescent="0.25">
      <c r="A11" s="28" t="s">
        <v>69</v>
      </c>
      <c r="B11" s="29">
        <f>'Grundlagen der Berechnung'!B24</f>
        <v>0</v>
      </c>
      <c r="C11" s="29">
        <f>'Grundlagen der Berechnung'!B24</f>
        <v>0</v>
      </c>
      <c r="D11" s="29">
        <f>'Grundlagen der Berechnung'!B24</f>
        <v>0</v>
      </c>
      <c r="E11" s="29">
        <f>'Grundlagen der Berechnung'!B24</f>
        <v>0</v>
      </c>
      <c r="F11" s="29">
        <f>'Grundlagen der Berechnung'!B24</f>
        <v>0</v>
      </c>
      <c r="G11" s="29">
        <f>'Grundlagen der Berechnung'!B24</f>
        <v>0</v>
      </c>
      <c r="H11" s="30">
        <f>'[1]Grundlagen (22)'!B24/5*F28</f>
        <v>0</v>
      </c>
    </row>
    <row r="12" spans="1:15" s="1" customFormat="1" ht="20.100000000000001" customHeight="1" x14ac:dyDescent="0.25">
      <c r="A12" s="37" t="s">
        <v>55</v>
      </c>
      <c r="B12" s="38">
        <f t="shared" ref="B12:H12" si="1">SUM(B6+B7+B11)</f>
        <v>33295.642187500001</v>
      </c>
      <c r="C12" s="38">
        <f t="shared" si="1"/>
        <v>38905.35</v>
      </c>
      <c r="D12" s="38">
        <f t="shared" si="1"/>
        <v>43277.935937500006</v>
      </c>
      <c r="E12" s="38">
        <f t="shared" si="1"/>
        <v>45346.915625000001</v>
      </c>
      <c r="F12" s="38">
        <f t="shared" si="1"/>
        <v>46584.037500000006</v>
      </c>
      <c r="G12" s="38">
        <f t="shared" si="1"/>
        <v>47437.224999999999</v>
      </c>
      <c r="H12" s="39">
        <f t="shared" si="1"/>
        <v>28506.499999999996</v>
      </c>
    </row>
    <row r="13" spans="1:15" s="1" customFormat="1" ht="20.100000000000001" customHeight="1" x14ac:dyDescent="0.25">
      <c r="A13" s="32" t="s">
        <v>14</v>
      </c>
      <c r="B13" s="33">
        <f>(B12*'Grundlagen der Berechnung'!D4)+(B12*'Grundlagen der Berechnung'!D5)</f>
        <v>2647.0035539062501</v>
      </c>
      <c r="C13" s="33">
        <f>(C12*'Grundlagen der Berechnung'!D4)+(C12*'Grundlagen der Berechnung'!D5)</f>
        <v>3092.9753249999999</v>
      </c>
      <c r="D13" s="33">
        <f>(D12*'Grundlagen der Berechnung'!D4)+(D12*'Grundlagen der Berechnung'!D5)</f>
        <v>3440.5959070312501</v>
      </c>
      <c r="E13" s="33">
        <f>(E12*'Grundlagen der Berechnung'!D4)+(E12*'Grundlagen der Berechnung'!D5)</f>
        <v>3605.0797921875001</v>
      </c>
      <c r="F13" s="33">
        <f>(F12*'Grundlagen der Berechnung'!D4)+(F12*'Grundlagen der Berechnung'!D5)</f>
        <v>3703.4309812500001</v>
      </c>
      <c r="G13" s="33">
        <f>(G12*'Grundlagen der Berechnung'!D4)+(G12*'Grundlagen der Berechnung'!D5)</f>
        <v>3771.2593874999998</v>
      </c>
      <c r="H13" s="34">
        <f>(H12*'Grundlagen der Berechnung'!D4)+(H12*'Grundlagen der Berechnung'!D5)</f>
        <v>2266.2667499999998</v>
      </c>
    </row>
    <row r="14" spans="1:15" s="1" customFormat="1" ht="20.100000000000001" customHeight="1" x14ac:dyDescent="0.25">
      <c r="A14" s="32" t="s">
        <v>17</v>
      </c>
      <c r="B14" s="33">
        <f>B12*'Grundlagen der Berechnung'!D6</f>
        <v>3096.4947234374999</v>
      </c>
      <c r="C14" s="33">
        <f>C12*'Grundlagen der Berechnung'!D6</f>
        <v>3618.1975499999999</v>
      </c>
      <c r="D14" s="33">
        <f>D12*'Grundlagen der Berechnung'!D6</f>
        <v>4024.8480421875006</v>
      </c>
      <c r="E14" s="33">
        <f>E12*'Grundlagen der Berechnung'!D6</f>
        <v>4217.2631531249999</v>
      </c>
      <c r="F14" s="33">
        <f>F12*'Grundlagen der Berechnung'!D6</f>
        <v>4332.3154875000009</v>
      </c>
      <c r="G14" s="33">
        <f>G12*'Grundlagen der Berechnung'!D6</f>
        <v>4411.6619249999994</v>
      </c>
      <c r="H14" s="34">
        <f>H12*'Grundlagen der Berechnung'!D6</f>
        <v>2651.1044999999995</v>
      </c>
    </row>
    <row r="15" spans="1:15" s="1" customFormat="1" ht="20.100000000000001" customHeight="1" x14ac:dyDescent="0.25">
      <c r="A15" s="32" t="s">
        <v>18</v>
      </c>
      <c r="B15" s="33">
        <f>B12*'Grundlagen der Berechnung'!D7</f>
        <v>399.54770625000003</v>
      </c>
      <c r="C15" s="33">
        <f>C12*'Grundlagen der Berechnung'!D7</f>
        <v>466.86419999999998</v>
      </c>
      <c r="D15" s="33">
        <f>D12*'Grundlagen der Berechnung'!D7</f>
        <v>519.33523125000011</v>
      </c>
      <c r="E15" s="33">
        <f>E12*'Grundlagen der Berechnung'!D7</f>
        <v>544.16298749999999</v>
      </c>
      <c r="F15" s="33">
        <f>F12*'Grundlagen der Berechnung'!D7</f>
        <v>559.00845000000004</v>
      </c>
      <c r="G15" s="33">
        <f>G12*'Grundlagen der Berechnung'!D7</f>
        <v>569.24670000000003</v>
      </c>
      <c r="H15" s="34">
        <f>H12*'Grundlagen der Berechnung'!D7</f>
        <v>342.07799999999997</v>
      </c>
    </row>
    <row r="16" spans="1:15" s="1" customFormat="1" ht="20.100000000000001" customHeight="1" x14ac:dyDescent="0.25">
      <c r="A16" s="32" t="s">
        <v>59</v>
      </c>
      <c r="B16" s="33">
        <f>B12*'Grundlagen der Berechnung'!D8</f>
        <v>507.75854335937504</v>
      </c>
      <c r="C16" s="33">
        <f>C12*'Grundlagen der Berechnung'!D8</f>
        <v>593.30658749999998</v>
      </c>
      <c r="D16" s="33">
        <f>D12*'Grundlagen der Berechnung'!D8</f>
        <v>659.98852304687512</v>
      </c>
      <c r="E16" s="33">
        <f>E12*'Grundlagen der Berechnung'!D8</f>
        <v>691.54046328125003</v>
      </c>
      <c r="F16" s="33">
        <f>F12*'Grundlagen der Berechnung'!D8</f>
        <v>710.40657187500005</v>
      </c>
      <c r="G16" s="33">
        <f>G12*'Grundlagen der Berechnung'!D8</f>
        <v>723.41768124999999</v>
      </c>
      <c r="H16" s="34">
        <f>H12*'Grundlagen der Berechnung'!D8</f>
        <v>434.72412499999996</v>
      </c>
    </row>
    <row r="17" spans="1:14" s="1" customFormat="1" ht="20.100000000000001" customHeight="1" x14ac:dyDescent="0.25">
      <c r="A17" s="32" t="s">
        <v>60</v>
      </c>
      <c r="B17" s="33">
        <f>B12*'Grundlagen der Berechnung'!D10</f>
        <v>1032.1649078125001</v>
      </c>
      <c r="C17" s="33">
        <f>C12*'Grundlagen der Berechnung'!D10</f>
        <v>1206.06585</v>
      </c>
      <c r="D17" s="33">
        <f>D12*'Grundlagen der Berechnung'!D10</f>
        <v>1341.6160140625002</v>
      </c>
      <c r="E17" s="33">
        <f>E12*'Grundlagen der Berechnung'!D10</f>
        <v>1405.754384375</v>
      </c>
      <c r="F17" s="33">
        <f>F12*'Grundlagen der Berechnung'!D10</f>
        <v>1444.1051625000002</v>
      </c>
      <c r="G17" s="33">
        <f>G12*'Grundlagen der Berechnung'!D10</f>
        <v>1470.553975</v>
      </c>
      <c r="H17" s="34">
        <f>H12*'Grundlagen der Berechnung'!D10</f>
        <v>883.7014999999999</v>
      </c>
    </row>
    <row r="18" spans="1:14" s="1" customFormat="1" ht="20.100000000000001" customHeight="1" x14ac:dyDescent="0.25">
      <c r="A18" s="32" t="s">
        <v>61</v>
      </c>
      <c r="B18" s="33">
        <f>B12*'Grundlagen der Berechnung'!D11</f>
        <v>196.44428890624999</v>
      </c>
      <c r="C18" s="33">
        <f>C12*'Grundlagen der Berechnung'!D11</f>
        <v>229.54156499999999</v>
      </c>
      <c r="D18" s="33">
        <f>D12*'Grundlagen der Berechnung'!D11</f>
        <v>255.33982203125004</v>
      </c>
      <c r="E18" s="33">
        <f>E12*'Grundlagen der Berechnung'!D11</f>
        <v>267.54680218750002</v>
      </c>
      <c r="F18" s="33">
        <f>F12*'Grundlagen der Berechnung'!D11</f>
        <v>274.84582125000003</v>
      </c>
      <c r="G18" s="33">
        <f>G12*'Grundlagen der Berechnung'!D11</f>
        <v>279.87962749999997</v>
      </c>
      <c r="H18" s="34">
        <f>H12*'Grundlagen der Berechnung'!D11</f>
        <v>168.18834999999999</v>
      </c>
    </row>
    <row r="19" spans="1:14" s="1" customFormat="1" ht="20.100000000000001" customHeight="1" x14ac:dyDescent="0.25">
      <c r="A19" s="32" t="s">
        <v>145</v>
      </c>
      <c r="B19" s="33">
        <f>B12*'Grundlagen der Berechnung'!D12</f>
        <v>29.96607796875</v>
      </c>
      <c r="C19" s="33">
        <f>C12*'Grundlagen der Berechnung'!D12</f>
        <v>35.014814999999999</v>
      </c>
      <c r="D19" s="33">
        <f>D12*'Grundlagen der Berechnung'!D12</f>
        <v>38.950142343750002</v>
      </c>
      <c r="E19" s="33">
        <f>E12*'Grundlagen der Berechnung'!D12</f>
        <v>40.8122240625</v>
      </c>
      <c r="F19" s="33">
        <f>F12*'Grundlagen der Berechnung'!D12</f>
        <v>41.925633750000003</v>
      </c>
      <c r="G19" s="33">
        <f>G12*'Grundlagen der Berechnung'!D12</f>
        <v>42.693502500000001</v>
      </c>
      <c r="H19" s="33">
        <f>H12*'Grundlagen der Berechnung'!D12</f>
        <v>25.655849999999997</v>
      </c>
      <c r="N19" s="130" t="s">
        <v>115</v>
      </c>
    </row>
    <row r="20" spans="1:14" s="1" customFormat="1" ht="20.100000000000001" customHeight="1" x14ac:dyDescent="0.25">
      <c r="A20" s="32" t="s">
        <v>62</v>
      </c>
      <c r="B20" s="33">
        <f>B12*'Grundlagen der Berechnung'!D13</f>
        <v>808.95092258750014</v>
      </c>
      <c r="C20" s="33">
        <f>C12*'Grundlagen der Berechnung'!D13</f>
        <v>945.24438359999999</v>
      </c>
      <c r="D20" s="33">
        <f>D12*'Grundlagen der Berechnung'!D13</f>
        <v>1051.4807315375001</v>
      </c>
      <c r="E20" s="33">
        <f>E12*'Grundlagen der Berechnung'!D13</f>
        <v>1101.7486620250002</v>
      </c>
      <c r="F20" s="33">
        <f>F12*'Grundlagen der Berechnung'!D13</f>
        <v>1131.8057751000001</v>
      </c>
      <c r="G20" s="33">
        <f>G12*'Grundlagen der Berechnung'!D13</f>
        <v>1152.5348186000001</v>
      </c>
      <c r="H20" s="34">
        <f>H12*'Grundlagen der Berechnung'!D13</f>
        <v>692.5939239999999</v>
      </c>
    </row>
    <row r="21" spans="1:14" s="1" customFormat="1" ht="20.100000000000001" customHeight="1" x14ac:dyDescent="0.25">
      <c r="A21" s="40" t="s">
        <v>64</v>
      </c>
      <c r="B21" s="41">
        <f t="shared" ref="B21:G21" si="2">SUM(B13:B20)</f>
        <v>8718.3307242281262</v>
      </c>
      <c r="C21" s="41">
        <f t="shared" si="2"/>
        <v>10187.210276100001</v>
      </c>
      <c r="D21" s="41">
        <f t="shared" si="2"/>
        <v>11332.154413490625</v>
      </c>
      <c r="E21" s="41">
        <f t="shared" si="2"/>
        <v>11873.908468743752</v>
      </c>
      <c r="F21" s="41">
        <f t="shared" si="2"/>
        <v>12197.843883225001</v>
      </c>
      <c r="G21" s="41">
        <f t="shared" si="2"/>
        <v>12421.24761735</v>
      </c>
      <c r="H21" s="42">
        <f>SUM(H13:H20)</f>
        <v>7464.3129989999998</v>
      </c>
    </row>
    <row r="22" spans="1:14" s="1" customFormat="1" ht="20.100000000000001" customHeight="1" x14ac:dyDescent="0.25">
      <c r="A22" s="43" t="s">
        <v>63</v>
      </c>
      <c r="B22" s="44">
        <f>B12*'Grundlagen der Berechnung'!Q13-400</f>
        <v>831.93876093750009</v>
      </c>
      <c r="C22" s="44">
        <f>C12*'Grundlagen der Berechnung'!Q13-400</f>
        <v>1039.4979499999999</v>
      </c>
      <c r="D22" s="44">
        <f>D12*'Grundlagen der Berechnung'!Q13-400</f>
        <v>1201.2836296875</v>
      </c>
      <c r="E22" s="44">
        <f>E12*'Grundlagen der Berechnung'!Q13-400</f>
        <v>1277.8358781249999</v>
      </c>
      <c r="F22" s="44">
        <f>F12*'Grundlagen der Berechnung'!Q13-400</f>
        <v>1323.6093875000001</v>
      </c>
      <c r="G22" s="44">
        <f>G12*'Grundlagen der Berechnung'!Q13-400</f>
        <v>1355.1773249999999</v>
      </c>
      <c r="H22" s="45">
        <f>H12*'Grundlagen der Berechnung'!Q13-400</f>
        <v>654.74049999999988</v>
      </c>
    </row>
    <row r="23" spans="1:14" s="1" customFormat="1" ht="20.100000000000001" customHeight="1" x14ac:dyDescent="0.25">
      <c r="A23" s="43" t="s">
        <v>114</v>
      </c>
      <c r="B23" s="44">
        <f>'Grundlagen der Berechnung'!H28</f>
        <v>1000</v>
      </c>
      <c r="C23" s="44">
        <f>'Grundlagen der Berechnung'!H28</f>
        <v>1000</v>
      </c>
      <c r="D23" s="44">
        <f>'Grundlagen der Berechnung'!H28</f>
        <v>1000</v>
      </c>
      <c r="E23" s="44">
        <f>'Grundlagen der Berechnung'!H28</f>
        <v>1000</v>
      </c>
      <c r="F23" s="44">
        <f>'Grundlagen der Berechnung'!H28</f>
        <v>1000</v>
      </c>
      <c r="G23" s="44">
        <f>'Grundlagen der Berechnung'!H28</f>
        <v>1000</v>
      </c>
      <c r="H23" s="44">
        <f>'Grundlagen der Berechnung'!N28/12*2</f>
        <v>0</v>
      </c>
    </row>
    <row r="24" spans="1:14" s="1" customFormat="1" ht="20.100000000000001" customHeight="1" x14ac:dyDescent="0.25">
      <c r="A24" s="75" t="s">
        <v>56</v>
      </c>
      <c r="B24" s="76">
        <f t="shared" ref="B24:H24" si="3">SUM(B6:B11)+B21+B22+B23</f>
        <v>46371.911672665621</v>
      </c>
      <c r="C24" s="76">
        <f t="shared" si="3"/>
        <v>53658.058226099994</v>
      </c>
      <c r="D24" s="76">
        <f t="shared" si="3"/>
        <v>59337.373980678138</v>
      </c>
      <c r="E24" s="76">
        <f t="shared" si="3"/>
        <v>62024.65997186875</v>
      </c>
      <c r="F24" s="76">
        <f t="shared" si="3"/>
        <v>63631.490770725009</v>
      </c>
      <c r="G24" s="76">
        <f t="shared" si="3"/>
        <v>64739.649942349992</v>
      </c>
      <c r="H24" s="76">
        <f t="shared" si="3"/>
        <v>36625.553498999994</v>
      </c>
    </row>
    <row r="25" spans="1:14" s="1" customFormat="1" ht="20.100000000000001" customHeight="1" x14ac:dyDescent="0.25">
      <c r="A25" s="77" t="s">
        <v>57</v>
      </c>
      <c r="B25" s="35">
        <f t="shared" ref="B25:H25" si="4">B24/12</f>
        <v>3864.3259727221352</v>
      </c>
      <c r="C25" s="35">
        <f t="shared" si="4"/>
        <v>4471.5048521749995</v>
      </c>
      <c r="D25" s="35">
        <f t="shared" si="4"/>
        <v>4944.7811650565118</v>
      </c>
      <c r="E25" s="35">
        <f t="shared" si="4"/>
        <v>5168.7216643223956</v>
      </c>
      <c r="F25" s="35">
        <f t="shared" si="4"/>
        <v>5302.6242308937508</v>
      </c>
      <c r="G25" s="35">
        <f t="shared" si="4"/>
        <v>5394.9708285291663</v>
      </c>
      <c r="H25" s="36">
        <f t="shared" si="4"/>
        <v>3052.1294582499995</v>
      </c>
    </row>
    <row r="26" spans="1:14" s="1" customFormat="1" ht="20.100000000000001" customHeight="1" thickBot="1" x14ac:dyDescent="0.3">
      <c r="A26" s="78" t="s">
        <v>72</v>
      </c>
      <c r="B26" s="79">
        <f>B24/'[1]Grundlagen (22)'!H7*7</f>
        <v>889.32433344838182</v>
      </c>
      <c r="C26" s="79">
        <f>C24/'[1]Grundlagen (22)'!H7*7</f>
        <v>1029.0586509115067</v>
      </c>
      <c r="D26" s="79">
        <f>D24/'[1]Grundlagen (22)'!H7*7</f>
        <v>1137.9770352458822</v>
      </c>
      <c r="E26" s="79">
        <f>E24/'[1]Grundlagen (22)'!H7*7</f>
        <v>1189.5140268577568</v>
      </c>
      <c r="F26" s="79">
        <f>F24/'[1]Grundlagen (22)'!H7*7</f>
        <v>1220.329959986507</v>
      </c>
      <c r="G26" s="79">
        <f>G24/'[1]Grundlagen (22)'!H7*7</f>
        <v>1241.5823276615065</v>
      </c>
      <c r="H26" s="80">
        <f>H24/'[1]Grundlagen (22)'!H7*7</f>
        <v>702.40787532328761</v>
      </c>
    </row>
    <row r="27" spans="1:14" s="1" customFormat="1" ht="20.100000000000001" customHeight="1" thickBot="1" x14ac:dyDescent="0.3">
      <c r="A27" s="81" t="s">
        <v>83</v>
      </c>
      <c r="B27" s="294" t="s">
        <v>95</v>
      </c>
      <c r="C27" s="294"/>
      <c r="D27" s="295"/>
      <c r="E27" s="25"/>
      <c r="F27" s="23"/>
      <c r="G27" s="23"/>
      <c r="H27" s="23"/>
    </row>
    <row r="28" spans="1:14" s="1" customFormat="1" ht="20.100000000000001" customHeight="1" x14ac:dyDescent="0.25">
      <c r="A28" s="47" t="s">
        <v>16</v>
      </c>
      <c r="B28" s="48">
        <f>'Grundlagen der Berechnung'!H5-B29</f>
        <v>206</v>
      </c>
      <c r="C28" s="48">
        <f>'Grundlagen der Berechnung'!H5-C29</f>
        <v>206</v>
      </c>
      <c r="D28" s="48">
        <f>'Grundlagen der Berechnung'!H5-D29</f>
        <v>206</v>
      </c>
      <c r="E28" s="48">
        <f>'Grundlagen der Berechnung'!H5-E29</f>
        <v>204</v>
      </c>
      <c r="F28" s="48">
        <f>'Grundlagen der Berechnung'!H5-F29</f>
        <v>204</v>
      </c>
      <c r="G28" s="48">
        <f>'Grundlagen der Berechnung'!H5-G29</f>
        <v>204</v>
      </c>
      <c r="H28" s="49">
        <f>'Grundlagen der Berechnung'!H5-H29</f>
        <v>218</v>
      </c>
    </row>
    <row r="29" spans="1:14" s="1" customFormat="1" ht="20.100000000000001" customHeight="1" x14ac:dyDescent="0.25">
      <c r="A29" s="46" t="s">
        <v>75</v>
      </c>
      <c r="B29" s="50">
        <f>'Grundlagen der Berechnung'!D18</f>
        <v>43</v>
      </c>
      <c r="C29" s="51">
        <f>'Grundlagen der Berechnung'!D18</f>
        <v>43</v>
      </c>
      <c r="D29" s="51">
        <f>'Grundlagen der Berechnung'!D18</f>
        <v>43</v>
      </c>
      <c r="E29" s="51">
        <f>'Grundlagen der Berechnung'!D19</f>
        <v>45</v>
      </c>
      <c r="F29" s="52">
        <f>'Grundlagen der Berechnung'!D19</f>
        <v>45</v>
      </c>
      <c r="G29" s="52">
        <f>'Grundlagen der Berechnung'!D19</f>
        <v>45</v>
      </c>
      <c r="H29" s="53">
        <f>'Grundlagen der Berechnung'!D17</f>
        <v>31</v>
      </c>
    </row>
    <row r="30" spans="1:14" s="1" customFormat="1" ht="20.100000000000001" customHeight="1" thickBot="1" x14ac:dyDescent="0.3">
      <c r="A30" s="54" t="s">
        <v>84</v>
      </c>
      <c r="B30" s="55">
        <f t="shared" ref="B30:H30" si="5">B21/B28</f>
        <v>42.321993806932653</v>
      </c>
      <c r="C30" s="55">
        <f t="shared" si="5"/>
        <v>49.452477068446605</v>
      </c>
      <c r="D30" s="55">
        <f t="shared" si="5"/>
        <v>55.010458317915656</v>
      </c>
      <c r="E30" s="55">
        <f t="shared" si="5"/>
        <v>58.205433670312509</v>
      </c>
      <c r="F30" s="55">
        <f t="shared" si="5"/>
        <v>59.793352368750007</v>
      </c>
      <c r="G30" s="55">
        <f t="shared" si="5"/>
        <v>60.8884687125</v>
      </c>
      <c r="H30" s="56">
        <f t="shared" si="5"/>
        <v>34.2399678853211</v>
      </c>
    </row>
    <row r="31" spans="1:14" s="1" customFormat="1" ht="20.100000000000001" customHeight="1" thickBot="1" x14ac:dyDescent="0.3">
      <c r="A31" s="296" t="s">
        <v>87</v>
      </c>
      <c r="B31" s="297"/>
      <c r="C31" s="23"/>
      <c r="D31" s="23"/>
      <c r="E31" s="23"/>
      <c r="F31" s="23"/>
      <c r="G31" s="23"/>
      <c r="H31" s="23"/>
    </row>
    <row r="32" spans="1:14" s="1" customFormat="1" ht="20.100000000000001" customHeight="1" x14ac:dyDescent="0.25">
      <c r="A32" s="57" t="s">
        <v>72</v>
      </c>
      <c r="B32" s="58">
        <f t="shared" ref="B32:H32" si="6">B26</f>
        <v>889.32433344838182</v>
      </c>
      <c r="C32" s="58">
        <f t="shared" si="6"/>
        <v>1029.0586509115067</v>
      </c>
      <c r="D32" s="58">
        <f t="shared" si="6"/>
        <v>1137.9770352458822</v>
      </c>
      <c r="E32" s="58">
        <f t="shared" si="6"/>
        <v>1189.5140268577568</v>
      </c>
      <c r="F32" s="58">
        <f t="shared" si="6"/>
        <v>1220.329959986507</v>
      </c>
      <c r="G32" s="58">
        <f t="shared" si="6"/>
        <v>1241.5823276615065</v>
      </c>
      <c r="H32" s="59">
        <f t="shared" si="6"/>
        <v>702.40787532328761</v>
      </c>
      <c r="I32" s="26"/>
      <c r="J32" s="27"/>
      <c r="K32" s="27"/>
      <c r="L32" s="27"/>
    </row>
    <row r="33" spans="1:12" s="1" customFormat="1" ht="20.100000000000001" customHeight="1" x14ac:dyDescent="0.25">
      <c r="A33" s="60" t="s">
        <v>82</v>
      </c>
      <c r="B33" s="61">
        <f t="shared" ref="B33:H33" si="7">B30*5</f>
        <v>211.60996903466327</v>
      </c>
      <c r="C33" s="61">
        <f t="shared" si="7"/>
        <v>247.26238534223302</v>
      </c>
      <c r="D33" s="61">
        <f t="shared" si="7"/>
        <v>275.05229158957826</v>
      </c>
      <c r="E33" s="61">
        <f t="shared" si="7"/>
        <v>291.02716835156252</v>
      </c>
      <c r="F33" s="61">
        <f t="shared" si="7"/>
        <v>298.96676184375002</v>
      </c>
      <c r="G33" s="61">
        <f t="shared" si="7"/>
        <v>304.44234356250001</v>
      </c>
      <c r="H33" s="62">
        <f t="shared" si="7"/>
        <v>171.19983942660551</v>
      </c>
    </row>
    <row r="34" spans="1:12" s="1" customFormat="1" ht="20.100000000000001" customHeight="1" x14ac:dyDescent="0.25">
      <c r="A34" s="60" t="s">
        <v>71</v>
      </c>
      <c r="B34" s="61">
        <f t="shared" ref="B34:H34" si="8">B32+B33</f>
        <v>1100.934302483045</v>
      </c>
      <c r="C34" s="61">
        <f t="shared" si="8"/>
        <v>1276.3210362537397</v>
      </c>
      <c r="D34" s="61">
        <f t="shared" si="8"/>
        <v>1413.0293268354606</v>
      </c>
      <c r="E34" s="61">
        <f t="shared" si="8"/>
        <v>1480.5411952093193</v>
      </c>
      <c r="F34" s="61">
        <f t="shared" si="8"/>
        <v>1519.296721830257</v>
      </c>
      <c r="G34" s="61">
        <f t="shared" si="8"/>
        <v>1546.0246712240064</v>
      </c>
      <c r="H34" s="62">
        <f t="shared" si="8"/>
        <v>873.60771474989315</v>
      </c>
      <c r="I34" s="26"/>
      <c r="J34" s="27"/>
      <c r="K34" s="27"/>
      <c r="L34" s="27"/>
    </row>
    <row r="35" spans="1:12" s="1" customFormat="1" ht="20.100000000000001" customHeight="1" x14ac:dyDescent="0.25">
      <c r="A35" s="60" t="s">
        <v>66</v>
      </c>
      <c r="B35" s="61">
        <f>B34*'[1]Grundlagen (22)'!Q14</f>
        <v>209.17751747177857</v>
      </c>
      <c r="C35" s="61">
        <f>C34*'[1]Grundlagen (22)'!Q14</f>
        <v>242.50099688821055</v>
      </c>
      <c r="D35" s="61">
        <f>D34*'[1]Grundlagen (22)'!Q14</f>
        <v>268.47557209873753</v>
      </c>
      <c r="E35" s="61">
        <f>E34*'[1]Grundlagen (22)'!Q14</f>
        <v>281.30282708977069</v>
      </c>
      <c r="F35" s="61">
        <f>F34*'[1]Grundlagen (22)'!Q14</f>
        <v>288.66637714774885</v>
      </c>
      <c r="G35" s="61">
        <f>G34*'[1]Grundlagen (22)'!Q14</f>
        <v>293.74468753256122</v>
      </c>
      <c r="H35" s="62">
        <f>H34*'[1]Grundlagen (22)'!Q14</f>
        <v>165.98546580247969</v>
      </c>
    </row>
    <row r="36" spans="1:12" s="1" customFormat="1" ht="20.100000000000001" customHeight="1" x14ac:dyDescent="0.25">
      <c r="A36" s="63" t="s">
        <v>85</v>
      </c>
      <c r="B36" s="64">
        <f t="shared" ref="B36:H36" si="9">B34+B35</f>
        <v>1310.1118199548237</v>
      </c>
      <c r="C36" s="64">
        <f t="shared" si="9"/>
        <v>1518.8220331419502</v>
      </c>
      <c r="D36" s="64">
        <f t="shared" si="9"/>
        <v>1681.5048989341981</v>
      </c>
      <c r="E36" s="64">
        <f t="shared" si="9"/>
        <v>1761.8440222990901</v>
      </c>
      <c r="F36" s="64">
        <f t="shared" si="9"/>
        <v>1807.9630989780057</v>
      </c>
      <c r="G36" s="64">
        <f t="shared" si="9"/>
        <v>1839.7693587565677</v>
      </c>
      <c r="H36" s="65">
        <f t="shared" si="9"/>
        <v>1039.5931805523728</v>
      </c>
    </row>
    <row r="37" spans="1:12" s="1" customFormat="1" ht="20.100000000000001" customHeight="1" x14ac:dyDescent="0.25">
      <c r="A37" s="66" t="s">
        <v>58</v>
      </c>
      <c r="B37" s="67">
        <f>B34/5</f>
        <v>220.186860496609</v>
      </c>
      <c r="C37" s="67">
        <f t="shared" ref="C37:H39" si="10">C34/5</f>
        <v>255.26420725074794</v>
      </c>
      <c r="D37" s="67">
        <f t="shared" si="10"/>
        <v>282.60586536709212</v>
      </c>
      <c r="E37" s="67">
        <f t="shared" si="10"/>
        <v>296.10823904186384</v>
      </c>
      <c r="F37" s="67">
        <f t="shared" si="10"/>
        <v>303.8593443660514</v>
      </c>
      <c r="G37" s="67">
        <f t="shared" si="10"/>
        <v>309.20493424480128</v>
      </c>
      <c r="H37" s="68">
        <f t="shared" si="10"/>
        <v>174.72154294997864</v>
      </c>
    </row>
    <row r="38" spans="1:12" x14ac:dyDescent="0.25">
      <c r="A38" s="66" t="s">
        <v>66</v>
      </c>
      <c r="B38" s="67">
        <f>B35/5</f>
        <v>41.835503494355713</v>
      </c>
      <c r="C38" s="67">
        <f t="shared" si="10"/>
        <v>48.500199377642112</v>
      </c>
      <c r="D38" s="67">
        <f t="shared" si="10"/>
        <v>53.695114419747505</v>
      </c>
      <c r="E38" s="67">
        <f t="shared" si="10"/>
        <v>56.26056541795414</v>
      </c>
      <c r="F38" s="67">
        <f t="shared" si="10"/>
        <v>57.733275429549771</v>
      </c>
      <c r="G38" s="67">
        <f t="shared" si="10"/>
        <v>58.748937506512242</v>
      </c>
      <c r="H38" s="68">
        <f t="shared" si="10"/>
        <v>33.197093160495939</v>
      </c>
    </row>
    <row r="39" spans="1:12" s="1" customFormat="1" ht="20.100000000000001" customHeight="1" thickBot="1" x14ac:dyDescent="0.3">
      <c r="A39" s="69" t="s">
        <v>86</v>
      </c>
      <c r="B39" s="70">
        <f>B36/5</f>
        <v>262.02236399096472</v>
      </c>
      <c r="C39" s="70">
        <f t="shared" si="10"/>
        <v>303.76440662839002</v>
      </c>
      <c r="D39" s="70">
        <f t="shared" si="10"/>
        <v>336.3009797868396</v>
      </c>
      <c r="E39" s="70">
        <f t="shared" si="10"/>
        <v>352.36880445981802</v>
      </c>
      <c r="F39" s="70">
        <f t="shared" si="10"/>
        <v>361.59261979560114</v>
      </c>
      <c r="G39" s="70">
        <f t="shared" si="10"/>
        <v>367.95387175131356</v>
      </c>
      <c r="H39" s="71">
        <f>'[1]Lohnkosten (22'!H37</f>
        <v>205.56005766593708</v>
      </c>
    </row>
  </sheetData>
  <sheetProtection algorithmName="SHA-512" hashValue="Fo/CIIuCAb/tqiB0NNzjVM02K8yC9HjNQi0J77IWXKwlc6epVq25niy2bx0i1gLj6n97962NgGxmX9VJLKc32Q==" saltValue="JZvbJuP3glp3m5lf9JsS1g==" spinCount="100000" sheet="1" objects="1" scenarios="1"/>
  <mergeCells count="2">
    <mergeCell ref="B27:D27"/>
    <mergeCell ref="A31:B31"/>
  </mergeCells>
  <pageMargins left="0.7" right="0.7" top="0.78740157499999996" bottom="0.78740157499999996" header="0.3" footer="0.3"/>
  <pageSetup paperSize="8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14"/>
  <sheetViews>
    <sheetView topLeftCell="P1" zoomScaleNormal="100" workbookViewId="0">
      <selection activeCell="Q3" sqref="Q3"/>
    </sheetView>
  </sheetViews>
  <sheetFormatPr baseColWidth="10" defaultRowHeight="15" x14ac:dyDescent="0.25"/>
  <sheetData>
    <row r="1" spans="1:29" s="1" customFormat="1" ht="20.100000000000001" customHeight="1" thickBot="1" x14ac:dyDescent="0.3">
      <c r="A1" s="298" t="s">
        <v>129</v>
      </c>
      <c r="B1" s="299"/>
    </row>
    <row r="2" spans="1:29" s="1" customFormat="1" ht="15.75" thickBot="1" x14ac:dyDescent="0.3"/>
    <row r="3" spans="1:29" s="1" customFormat="1" ht="150" customHeight="1" x14ac:dyDescent="0.25">
      <c r="A3" s="131" t="s">
        <v>90</v>
      </c>
      <c r="B3" s="132" t="s">
        <v>116</v>
      </c>
      <c r="C3" s="132" t="s">
        <v>117</v>
      </c>
      <c r="D3" s="132" t="s">
        <v>130</v>
      </c>
      <c r="E3" s="132" t="s">
        <v>118</v>
      </c>
      <c r="F3" s="132" t="s">
        <v>119</v>
      </c>
      <c r="G3" s="132" t="s">
        <v>120</v>
      </c>
      <c r="H3" s="133" t="s">
        <v>121</v>
      </c>
      <c r="I3" s="133" t="s">
        <v>122</v>
      </c>
      <c r="J3" s="133" t="s">
        <v>123</v>
      </c>
      <c r="K3" s="134" t="s">
        <v>124</v>
      </c>
      <c r="L3" s="134" t="s">
        <v>125</v>
      </c>
      <c r="M3" s="134" t="s">
        <v>126</v>
      </c>
      <c r="N3" s="300"/>
      <c r="O3" s="301"/>
      <c r="P3" s="301"/>
      <c r="Q3" s="198" t="s">
        <v>90</v>
      </c>
      <c r="R3" s="199" t="s">
        <v>116</v>
      </c>
      <c r="S3" s="206" t="s">
        <v>117</v>
      </c>
      <c r="T3" s="209" t="s">
        <v>130</v>
      </c>
      <c r="U3" s="199" t="s">
        <v>118</v>
      </c>
      <c r="V3" s="206" t="s">
        <v>119</v>
      </c>
      <c r="W3" s="209" t="s">
        <v>120</v>
      </c>
      <c r="X3" s="202" t="s">
        <v>121</v>
      </c>
      <c r="Y3" s="207" t="s">
        <v>122</v>
      </c>
      <c r="Z3" s="211" t="s">
        <v>123</v>
      </c>
      <c r="AA3" s="204" t="s">
        <v>124</v>
      </c>
      <c r="AB3" s="208" t="s">
        <v>125</v>
      </c>
      <c r="AC3" s="213" t="s">
        <v>126</v>
      </c>
    </row>
    <row r="4" spans="1:29" s="1" customFormat="1" ht="20.100000000000001" customHeight="1" x14ac:dyDescent="0.25">
      <c r="A4" s="152" t="s">
        <v>44</v>
      </c>
      <c r="B4" s="153">
        <f>'Grundlagen der Berechnung'!H25</f>
        <v>14.93</v>
      </c>
      <c r="C4" s="154">
        <f>'Grundlagen der Berechnung'!H26</f>
        <v>15.74</v>
      </c>
      <c r="D4" s="154">
        <f>'Grundlagen der Berechnung'!H27</f>
        <v>15.61</v>
      </c>
      <c r="E4" s="154">
        <f>B4*38.5/7*365/12</f>
        <v>2497.6645833333332</v>
      </c>
      <c r="F4" s="154">
        <f>C4*38.5/7*365/12</f>
        <v>2633.1708333333336</v>
      </c>
      <c r="G4" s="154">
        <f>D4*38.5/7*365/12</f>
        <v>2611.4229166666669</v>
      </c>
      <c r="H4" s="155">
        <f>E4*0.75/12</f>
        <v>156.10403645833333</v>
      </c>
      <c r="I4" s="155">
        <f>F4*0.75/12</f>
        <v>164.57317708333335</v>
      </c>
      <c r="J4" s="155">
        <f>G4*0.75/12</f>
        <v>163.21393229166668</v>
      </c>
      <c r="K4" s="156">
        <f>E4+H4</f>
        <v>2653.7686197916664</v>
      </c>
      <c r="L4" s="156">
        <f>F4+I4</f>
        <v>2797.7440104166672</v>
      </c>
      <c r="M4" s="156">
        <f>G4+J4</f>
        <v>2774.6368489583338</v>
      </c>
      <c r="N4" s="84"/>
      <c r="O4" s="84"/>
      <c r="P4" s="215"/>
      <c r="Q4" s="216" t="s">
        <v>44</v>
      </c>
      <c r="R4" s="200">
        <v>14.93</v>
      </c>
      <c r="S4" s="157">
        <v>15.74</v>
      </c>
      <c r="T4" s="210">
        <v>15.61</v>
      </c>
      <c r="U4" s="201">
        <v>2497.66</v>
      </c>
      <c r="V4" s="157">
        <v>2633.17</v>
      </c>
      <c r="W4" s="210">
        <v>2611.42</v>
      </c>
      <c r="X4" s="203">
        <v>156.1</v>
      </c>
      <c r="Y4" s="158">
        <v>164.57</v>
      </c>
      <c r="Z4" s="212">
        <v>163.21</v>
      </c>
      <c r="AA4" s="205">
        <f>U4+X4</f>
        <v>2653.7599999999998</v>
      </c>
      <c r="AB4" s="159">
        <f>V4+Y4</f>
        <v>2797.7400000000002</v>
      </c>
      <c r="AC4" s="214">
        <f>W4+Z4</f>
        <v>2774.63</v>
      </c>
    </row>
    <row r="5" spans="1:29" s="1" customFormat="1" ht="20.100000000000001" customHeight="1" x14ac:dyDescent="0.25">
      <c r="A5" s="166" t="s">
        <v>45</v>
      </c>
      <c r="B5" s="167">
        <f>'Grundlagen der Berechnung'!I25</f>
        <v>17.46</v>
      </c>
      <c r="C5" s="168">
        <f>'Grundlagen der Berechnung'!I26</f>
        <v>18.399999999999999</v>
      </c>
      <c r="D5" s="168">
        <f>'Grundlagen der Berechnung'!I27</f>
        <v>18.239999999999998</v>
      </c>
      <c r="E5" s="168">
        <f t="shared" ref="E5:G10" si="0">B5*38.5/7*365/12</f>
        <v>2920.9124999999999</v>
      </c>
      <c r="F5" s="168">
        <f t="shared" si="0"/>
        <v>3078.1666666666665</v>
      </c>
      <c r="G5" s="168">
        <f t="shared" si="0"/>
        <v>3051.3999999999996</v>
      </c>
      <c r="H5" s="169">
        <f t="shared" ref="H5:J9" si="1">E5*0.75/12</f>
        <v>182.55703124999999</v>
      </c>
      <c r="I5" s="169">
        <f t="shared" si="1"/>
        <v>192.38541666666666</v>
      </c>
      <c r="J5" s="169">
        <f t="shared" si="1"/>
        <v>190.71249999999998</v>
      </c>
      <c r="K5" s="170">
        <f t="shared" ref="K5:M10" si="2">E5+H5</f>
        <v>3103.4695312499998</v>
      </c>
      <c r="L5" s="170">
        <f t="shared" si="2"/>
        <v>3270.552083333333</v>
      </c>
      <c r="M5" s="170">
        <f t="shared" si="2"/>
        <v>3242.1124999999997</v>
      </c>
      <c r="N5" s="84"/>
      <c r="O5" s="84"/>
      <c r="P5" s="215"/>
      <c r="Q5" s="216" t="s">
        <v>45</v>
      </c>
      <c r="R5" s="200">
        <v>17.46</v>
      </c>
      <c r="S5" s="157">
        <v>18.399999999999999</v>
      </c>
      <c r="T5" s="210">
        <v>18.239999999999998</v>
      </c>
      <c r="U5" s="201">
        <v>2920.91</v>
      </c>
      <c r="V5" s="157">
        <v>3078.17</v>
      </c>
      <c r="W5" s="210">
        <v>3051.4</v>
      </c>
      <c r="X5" s="203">
        <v>182.56</v>
      </c>
      <c r="Y5" s="158">
        <v>192.39</v>
      </c>
      <c r="Z5" s="212">
        <v>190.71</v>
      </c>
      <c r="AA5" s="205">
        <f t="shared" ref="AA5:AA10" si="3">U5+X5</f>
        <v>3103.47</v>
      </c>
      <c r="AB5" s="159">
        <f t="shared" ref="AB5:AB10" si="4">V5+Y5</f>
        <v>3270.56</v>
      </c>
      <c r="AC5" s="214">
        <f t="shared" ref="AC5:AC10" si="5">W5+Z5</f>
        <v>3242.11</v>
      </c>
    </row>
    <row r="6" spans="1:29" s="1" customFormat="1" ht="20.100000000000001" customHeight="1" x14ac:dyDescent="0.25">
      <c r="A6" s="171" t="s">
        <v>46</v>
      </c>
      <c r="B6" s="172">
        <f>'Grundlagen der Berechnung'!J25</f>
        <v>19.41</v>
      </c>
      <c r="C6" s="173">
        <f>'Grundlagen der Berechnung'!J26</f>
        <v>20.46</v>
      </c>
      <c r="D6" s="173">
        <f>'Grundlagen der Berechnung'!J27</f>
        <v>20.29</v>
      </c>
      <c r="E6" s="173">
        <f t="shared" si="0"/>
        <v>3247.1312499999999</v>
      </c>
      <c r="F6" s="173">
        <f t="shared" si="0"/>
        <v>3422.7874999999999</v>
      </c>
      <c r="G6" s="173">
        <f t="shared" si="0"/>
        <v>3394.3479166666671</v>
      </c>
      <c r="H6" s="174">
        <f t="shared" si="1"/>
        <v>202.94570312499999</v>
      </c>
      <c r="I6" s="174">
        <f t="shared" si="1"/>
        <v>213.92421874999999</v>
      </c>
      <c r="J6" s="174">
        <f t="shared" si="1"/>
        <v>212.14674479166669</v>
      </c>
      <c r="K6" s="175">
        <f t="shared" si="2"/>
        <v>3450.0769531249998</v>
      </c>
      <c r="L6" s="175">
        <f t="shared" si="2"/>
        <v>3636.7117187499998</v>
      </c>
      <c r="M6" s="175">
        <f t="shared" si="2"/>
        <v>3606.4946614583337</v>
      </c>
      <c r="N6" s="84"/>
      <c r="O6" s="84"/>
      <c r="P6" s="215"/>
      <c r="Q6" s="216" t="s">
        <v>46</v>
      </c>
      <c r="R6" s="200">
        <v>19.41</v>
      </c>
      <c r="S6" s="157">
        <v>20.46</v>
      </c>
      <c r="T6" s="210">
        <v>20.29</v>
      </c>
      <c r="U6" s="201">
        <v>3247.13</v>
      </c>
      <c r="V6" s="157">
        <v>3422.79</v>
      </c>
      <c r="W6" s="210">
        <v>3394.35</v>
      </c>
      <c r="X6" s="203">
        <v>202.95</v>
      </c>
      <c r="Y6" s="158">
        <v>213.92</v>
      </c>
      <c r="Z6" s="212">
        <v>212.15</v>
      </c>
      <c r="AA6" s="205">
        <f t="shared" si="3"/>
        <v>3450.08</v>
      </c>
      <c r="AB6" s="159">
        <f t="shared" si="4"/>
        <v>3636.71</v>
      </c>
      <c r="AC6" s="214">
        <f t="shared" si="5"/>
        <v>3606.5</v>
      </c>
    </row>
    <row r="7" spans="1:29" s="1" customFormat="1" ht="20.100000000000001" customHeight="1" x14ac:dyDescent="0.25">
      <c r="A7" s="176" t="s">
        <v>47</v>
      </c>
      <c r="B7" s="177">
        <f>'Grundlagen der Berechnung'!K25</f>
        <v>20.34</v>
      </c>
      <c r="C7" s="178">
        <f>'Grundlagen der Berechnung'!K26</f>
        <v>21.44</v>
      </c>
      <c r="D7" s="178">
        <f>'Grundlagen der Berechnung'!K27</f>
        <v>21.26</v>
      </c>
      <c r="E7" s="178">
        <f t="shared" si="0"/>
        <v>3402.7125000000001</v>
      </c>
      <c r="F7" s="178">
        <f t="shared" si="0"/>
        <v>3586.7333333333336</v>
      </c>
      <c r="G7" s="178">
        <f t="shared" si="0"/>
        <v>3556.6208333333338</v>
      </c>
      <c r="H7" s="179">
        <f t="shared" si="1"/>
        <v>212.66953125000001</v>
      </c>
      <c r="I7" s="179">
        <f t="shared" si="1"/>
        <v>224.17083333333335</v>
      </c>
      <c r="J7" s="179">
        <f t="shared" si="1"/>
        <v>222.28880208333337</v>
      </c>
      <c r="K7" s="180">
        <f t="shared" si="2"/>
        <v>3615.3820312500002</v>
      </c>
      <c r="L7" s="180">
        <f t="shared" si="2"/>
        <v>3810.9041666666672</v>
      </c>
      <c r="M7" s="180">
        <f t="shared" si="2"/>
        <v>3778.9096354166672</v>
      </c>
      <c r="N7" s="84"/>
      <c r="O7" s="84"/>
      <c r="P7" s="215"/>
      <c r="Q7" s="216" t="s">
        <v>47</v>
      </c>
      <c r="R7" s="200">
        <v>20.34</v>
      </c>
      <c r="S7" s="157">
        <v>21.44</v>
      </c>
      <c r="T7" s="210">
        <v>21.26</v>
      </c>
      <c r="U7" s="201">
        <v>3402.71</v>
      </c>
      <c r="V7" s="157">
        <v>3586.73</v>
      </c>
      <c r="W7" s="210">
        <v>3556.62</v>
      </c>
      <c r="X7" s="203">
        <v>212.67</v>
      </c>
      <c r="Y7" s="158">
        <v>224.17</v>
      </c>
      <c r="Z7" s="212">
        <v>222.29</v>
      </c>
      <c r="AA7" s="205">
        <f t="shared" si="3"/>
        <v>3615.38</v>
      </c>
      <c r="AB7" s="159">
        <f t="shared" si="4"/>
        <v>3810.9</v>
      </c>
      <c r="AC7" s="214">
        <f t="shared" si="5"/>
        <v>3778.91</v>
      </c>
    </row>
    <row r="8" spans="1:29" s="1" customFormat="1" ht="20.100000000000001" customHeight="1" x14ac:dyDescent="0.25">
      <c r="A8" s="181" t="s">
        <v>48</v>
      </c>
      <c r="B8" s="182">
        <f>'Grundlagen der Berechnung'!L25</f>
        <v>20.9</v>
      </c>
      <c r="C8" s="183">
        <f>'Grundlagen der Berechnung'!L26</f>
        <v>22.03</v>
      </c>
      <c r="D8" s="183">
        <f>'Grundlagen der Berechnung'!L27</f>
        <v>21.84</v>
      </c>
      <c r="E8" s="183">
        <f t="shared" si="0"/>
        <v>3496.3958333333335</v>
      </c>
      <c r="F8" s="183">
        <f t="shared" si="0"/>
        <v>3685.4354166666672</v>
      </c>
      <c r="G8" s="183">
        <f t="shared" si="0"/>
        <v>3653.65</v>
      </c>
      <c r="H8" s="184">
        <f t="shared" si="1"/>
        <v>218.52473958333334</v>
      </c>
      <c r="I8" s="184">
        <f t="shared" si="1"/>
        <v>230.3397135416667</v>
      </c>
      <c r="J8" s="184">
        <f t="shared" si="1"/>
        <v>228.35312500000001</v>
      </c>
      <c r="K8" s="185">
        <f t="shared" si="2"/>
        <v>3714.920572916667</v>
      </c>
      <c r="L8" s="185">
        <f t="shared" si="2"/>
        <v>3915.7751302083338</v>
      </c>
      <c r="M8" s="185">
        <f t="shared" si="2"/>
        <v>3882.0031250000002</v>
      </c>
      <c r="N8" s="84"/>
      <c r="O8" s="84"/>
      <c r="P8" s="215"/>
      <c r="Q8" s="216" t="s">
        <v>48</v>
      </c>
      <c r="R8" s="200">
        <v>20.9</v>
      </c>
      <c r="S8" s="157">
        <v>22.03</v>
      </c>
      <c r="T8" s="210">
        <v>21.84</v>
      </c>
      <c r="U8" s="201">
        <v>3496.4</v>
      </c>
      <c r="V8" s="157">
        <v>3685.44</v>
      </c>
      <c r="W8" s="210">
        <v>3653.65</v>
      </c>
      <c r="X8" s="203">
        <v>218.52</v>
      </c>
      <c r="Y8" s="158">
        <v>230.34</v>
      </c>
      <c r="Z8" s="212">
        <v>228.35</v>
      </c>
      <c r="AA8" s="205">
        <f t="shared" si="3"/>
        <v>3714.92</v>
      </c>
      <c r="AB8" s="159">
        <f t="shared" si="4"/>
        <v>3915.78</v>
      </c>
      <c r="AC8" s="214">
        <f t="shared" si="5"/>
        <v>3882</v>
      </c>
    </row>
    <row r="9" spans="1:29" ht="20.100000000000001" customHeight="1" x14ac:dyDescent="0.25">
      <c r="A9" s="186" t="s">
        <v>94</v>
      </c>
      <c r="B9" s="187">
        <f>'Grundlagen der Berechnung'!M25</f>
        <v>21.18</v>
      </c>
      <c r="C9" s="188">
        <f>'Grundlagen der Berechnung'!M26</f>
        <v>22.45</v>
      </c>
      <c r="D9" s="188">
        <f>'Grundlagen der Berechnung'!M27</f>
        <v>22.24</v>
      </c>
      <c r="E9" s="188">
        <f t="shared" si="0"/>
        <v>3543.2374999999997</v>
      </c>
      <c r="F9" s="188">
        <f t="shared" si="0"/>
        <v>3755.6979166666665</v>
      </c>
      <c r="G9" s="188">
        <f t="shared" si="0"/>
        <v>3720.5666666666662</v>
      </c>
      <c r="H9" s="189">
        <f t="shared" si="1"/>
        <v>221.45234374999998</v>
      </c>
      <c r="I9" s="189">
        <f t="shared" si="1"/>
        <v>234.73111979166666</v>
      </c>
      <c r="J9" s="189">
        <f t="shared" si="1"/>
        <v>232.53541666666663</v>
      </c>
      <c r="K9" s="190">
        <f t="shared" si="2"/>
        <v>3764.6898437499999</v>
      </c>
      <c r="L9" s="190">
        <f t="shared" si="2"/>
        <v>3990.429036458333</v>
      </c>
      <c r="M9" s="190">
        <f t="shared" si="2"/>
        <v>3953.1020833333328</v>
      </c>
      <c r="N9" s="84"/>
      <c r="O9" s="84"/>
      <c r="P9" s="215"/>
      <c r="Q9" s="216" t="s">
        <v>94</v>
      </c>
      <c r="R9" s="200">
        <v>21.18</v>
      </c>
      <c r="S9" s="157">
        <v>22.45</v>
      </c>
      <c r="T9" s="210">
        <v>22.24</v>
      </c>
      <c r="U9" s="201">
        <v>3543.24</v>
      </c>
      <c r="V9" s="157">
        <v>3755.7</v>
      </c>
      <c r="W9" s="210">
        <v>3720.57</v>
      </c>
      <c r="X9" s="203">
        <v>221.45</v>
      </c>
      <c r="Y9" s="158">
        <v>234.73</v>
      </c>
      <c r="Z9" s="212">
        <v>232.54</v>
      </c>
      <c r="AA9" s="205">
        <f t="shared" si="3"/>
        <v>3764.6899999999996</v>
      </c>
      <c r="AB9" s="159">
        <f t="shared" si="4"/>
        <v>3990.43</v>
      </c>
      <c r="AC9" s="214">
        <f t="shared" si="5"/>
        <v>3953.11</v>
      </c>
    </row>
    <row r="10" spans="1:29" ht="20.100000000000001" customHeight="1" thickBot="1" x14ac:dyDescent="0.3">
      <c r="A10" s="151" t="s">
        <v>77</v>
      </c>
      <c r="B10" s="191">
        <f>'Grundlagen der Berechnung'!N25</f>
        <v>14.2</v>
      </c>
      <c r="C10" s="192">
        <f>'Grundlagen der Berechnung'!N26</f>
        <v>14.2</v>
      </c>
      <c r="D10" s="192">
        <f>'Grundlagen der Berechnung'!N27</f>
        <v>14.2</v>
      </c>
      <c r="E10" s="193">
        <f t="shared" si="0"/>
        <v>2375.5416666666665</v>
      </c>
      <c r="F10" s="193">
        <f t="shared" si="0"/>
        <v>2375.5416666666665</v>
      </c>
      <c r="G10" s="193">
        <f t="shared" si="0"/>
        <v>2375.5416666666665</v>
      </c>
      <c r="H10" s="194">
        <v>0</v>
      </c>
      <c r="I10" s="194">
        <v>0</v>
      </c>
      <c r="J10" s="195">
        <v>0</v>
      </c>
      <c r="K10" s="195">
        <f t="shared" si="2"/>
        <v>2375.5416666666665</v>
      </c>
      <c r="L10" s="195">
        <f t="shared" si="2"/>
        <v>2375.5416666666665</v>
      </c>
      <c r="M10" s="195">
        <f t="shared" si="2"/>
        <v>2375.5416666666665</v>
      </c>
      <c r="N10" s="84"/>
      <c r="O10" s="84"/>
      <c r="P10" s="215"/>
      <c r="Q10" s="217" t="s">
        <v>77</v>
      </c>
      <c r="R10" s="160">
        <v>14.2</v>
      </c>
      <c r="S10" s="161">
        <v>14.2</v>
      </c>
      <c r="T10" s="161">
        <v>14.2</v>
      </c>
      <c r="U10" s="162">
        <v>2375.54</v>
      </c>
      <c r="V10" s="162">
        <v>2375.54</v>
      </c>
      <c r="W10" s="162">
        <v>2375.54</v>
      </c>
      <c r="X10" s="163">
        <v>0</v>
      </c>
      <c r="Y10" s="163">
        <v>0</v>
      </c>
      <c r="Z10" s="164">
        <v>0</v>
      </c>
      <c r="AA10" s="164">
        <f t="shared" si="3"/>
        <v>2375.54</v>
      </c>
      <c r="AB10" s="164">
        <f t="shared" si="4"/>
        <v>2375.54</v>
      </c>
      <c r="AC10" s="165">
        <f t="shared" si="5"/>
        <v>2375.54</v>
      </c>
    </row>
    <row r="11" spans="1:29" ht="20.100000000000001" customHeight="1" thickBot="1" x14ac:dyDescent="0.3">
      <c r="A11" s="308" t="s">
        <v>143</v>
      </c>
      <c r="B11" s="309"/>
      <c r="C11" s="309"/>
      <c r="D11" s="309"/>
      <c r="E11" s="309"/>
      <c r="F11" s="310"/>
      <c r="Q11" s="311" t="s">
        <v>93</v>
      </c>
      <c r="R11" s="312"/>
      <c r="S11" s="312"/>
      <c r="T11" s="312"/>
      <c r="U11" s="312"/>
      <c r="V11" s="313"/>
    </row>
    <row r="12" spans="1:29" s="83" customFormat="1" ht="50.1" customHeight="1" x14ac:dyDescent="0.25">
      <c r="A12" s="92" t="s">
        <v>91</v>
      </c>
      <c r="B12" s="302" t="s">
        <v>92</v>
      </c>
      <c r="C12" s="303"/>
      <c r="D12" s="303"/>
      <c r="E12" s="303"/>
      <c r="F12" s="304"/>
      <c r="Q12" s="92" t="s">
        <v>91</v>
      </c>
      <c r="R12" s="302" t="s">
        <v>92</v>
      </c>
      <c r="S12" s="303"/>
      <c r="T12" s="303"/>
      <c r="U12" s="303"/>
      <c r="V12" s="304"/>
    </row>
    <row r="13" spans="1:29" s="83" customFormat="1" ht="50.1" customHeight="1" thickBot="1" x14ac:dyDescent="0.3">
      <c r="B13" s="305" t="s">
        <v>127</v>
      </c>
      <c r="C13" s="306"/>
      <c r="D13" s="306"/>
      <c r="E13" s="306"/>
      <c r="F13" s="307"/>
      <c r="R13" s="305" t="s">
        <v>127</v>
      </c>
      <c r="S13" s="306"/>
      <c r="T13" s="306"/>
      <c r="U13" s="306"/>
      <c r="V13" s="307"/>
    </row>
    <row r="14" spans="1:29" ht="35.1" customHeight="1" thickBot="1" x14ac:dyDescent="0.3">
      <c r="B14" s="305" t="s">
        <v>128</v>
      </c>
      <c r="C14" s="306"/>
      <c r="D14" s="306"/>
      <c r="E14" s="306"/>
      <c r="F14" s="307"/>
      <c r="R14" s="305" t="s">
        <v>128</v>
      </c>
      <c r="S14" s="306"/>
      <c r="T14" s="306"/>
      <c r="U14" s="306"/>
      <c r="V14" s="307"/>
    </row>
  </sheetData>
  <sheetProtection algorithmName="SHA-512" hashValue="534sIK8irqTYrsIKEOJXerM/jN8q/10uRA+SCKBgs9u/HmuBdsu3OnRo41/pl++r0keiI/CiCes4VCYYhp1mtA==" saltValue="WPzAYgcxGEGAhS8SYEAvtQ==" spinCount="100000" sheet="1" objects="1" scenarios="1"/>
  <mergeCells count="10">
    <mergeCell ref="A1:B1"/>
    <mergeCell ref="N3:P3"/>
    <mergeCell ref="R12:V12"/>
    <mergeCell ref="R13:V13"/>
    <mergeCell ref="R14:V14"/>
    <mergeCell ref="A11:F11"/>
    <mergeCell ref="B12:F12"/>
    <mergeCell ref="B13:F13"/>
    <mergeCell ref="B14:F14"/>
    <mergeCell ref="Q11:V11"/>
  </mergeCells>
  <pageMargins left="0.7" right="0.7" top="0.78740157499999996" bottom="0.78740157499999996" header="0.3" footer="0.3"/>
  <pageSetup paperSize="8" scale="5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AF83E-347C-42AE-9E57-B6377E859210}">
  <dimension ref="A1:G18"/>
  <sheetViews>
    <sheetView zoomScaleNormal="100" workbookViewId="0">
      <selection activeCell="A4" sqref="A4"/>
    </sheetView>
  </sheetViews>
  <sheetFormatPr baseColWidth="10" defaultRowHeight="15" x14ac:dyDescent="0.25"/>
  <sheetData>
    <row r="1" spans="1:7" ht="21.95" customHeight="1" thickBot="1" x14ac:dyDescent="0.3">
      <c r="A1" s="135" t="s">
        <v>131</v>
      </c>
      <c r="B1" s="136"/>
      <c r="C1" s="1"/>
      <c r="D1" s="1"/>
      <c r="E1" s="1"/>
      <c r="F1" s="1"/>
      <c r="G1" s="1"/>
    </row>
    <row r="2" spans="1:7" ht="9.9499999999999993" customHeight="1" thickBot="1" x14ac:dyDescent="0.3">
      <c r="A2" s="1"/>
      <c r="B2" s="1"/>
      <c r="C2" s="1"/>
      <c r="D2" s="1"/>
      <c r="E2" s="1"/>
      <c r="F2" s="1"/>
      <c r="G2" s="1"/>
    </row>
    <row r="3" spans="1:7" ht="20.100000000000001" customHeight="1" x14ac:dyDescent="0.25">
      <c r="A3" s="137" t="s">
        <v>132</v>
      </c>
      <c r="B3" s="98">
        <v>2022</v>
      </c>
      <c r="C3" s="98" t="s">
        <v>133</v>
      </c>
      <c r="D3" s="98" t="s">
        <v>134</v>
      </c>
      <c r="E3" s="138" t="s">
        <v>115</v>
      </c>
      <c r="F3" s="139" t="s">
        <v>135</v>
      </c>
      <c r="G3" s="96">
        <v>2024</v>
      </c>
    </row>
    <row r="4" spans="1:7" ht="20.100000000000001" customHeight="1" x14ac:dyDescent="0.25">
      <c r="A4" s="140" t="s">
        <v>136</v>
      </c>
      <c r="B4" s="141">
        <v>14.93</v>
      </c>
      <c r="C4" s="141">
        <v>14.93</v>
      </c>
      <c r="D4" s="141">
        <f>C4*D10+C4</f>
        <v>15.736219999999999</v>
      </c>
      <c r="E4" s="141">
        <f t="shared" ref="E4:E9" si="0">((C4*2)+(D4*10))/12</f>
        <v>15.601849999999999</v>
      </c>
      <c r="F4" s="141">
        <v>15.74</v>
      </c>
      <c r="G4" s="142">
        <f>F4*G10+F4</f>
        <v>16.369600000000002</v>
      </c>
    </row>
    <row r="5" spans="1:7" ht="20.100000000000001" customHeight="1" x14ac:dyDescent="0.25">
      <c r="A5" s="140" t="s">
        <v>137</v>
      </c>
      <c r="B5" s="141">
        <v>17.46</v>
      </c>
      <c r="C5" s="141">
        <v>17.46</v>
      </c>
      <c r="D5" s="141">
        <f>C5*D10+C5</f>
        <v>18.402840000000001</v>
      </c>
      <c r="E5" s="141">
        <f t="shared" si="0"/>
        <v>18.245699999999999</v>
      </c>
      <c r="F5" s="141">
        <v>18.399999999999999</v>
      </c>
      <c r="G5" s="142">
        <f>F5*G10+F5</f>
        <v>19.135999999999999</v>
      </c>
    </row>
    <row r="6" spans="1:7" ht="20.100000000000001" customHeight="1" x14ac:dyDescent="0.25">
      <c r="A6" s="140" t="s">
        <v>138</v>
      </c>
      <c r="B6" s="141">
        <v>19.22</v>
      </c>
      <c r="C6" s="141">
        <v>19.22</v>
      </c>
      <c r="D6" s="141">
        <f>C6*D10+C6</f>
        <v>20.25788</v>
      </c>
      <c r="E6" s="141">
        <f t="shared" si="0"/>
        <v>20.084900000000001</v>
      </c>
      <c r="F6" s="141">
        <v>20.260000000000002</v>
      </c>
      <c r="G6" s="142">
        <f>F6*G10+F6</f>
        <v>21.070400000000003</v>
      </c>
    </row>
    <row r="7" spans="1:7" ht="20.100000000000001" customHeight="1" x14ac:dyDescent="0.25">
      <c r="A7" s="140" t="s">
        <v>139</v>
      </c>
      <c r="B7" s="141">
        <v>20.059999999999999</v>
      </c>
      <c r="C7" s="141">
        <v>20.059999999999999</v>
      </c>
      <c r="D7" s="141">
        <f>C7*D10+C7</f>
        <v>21.143239999999999</v>
      </c>
      <c r="E7" s="141">
        <f t="shared" si="0"/>
        <v>20.962699999999998</v>
      </c>
      <c r="F7" s="141">
        <v>21.14</v>
      </c>
      <c r="G7" s="142">
        <f>F7*G10+F7</f>
        <v>21.985600000000002</v>
      </c>
    </row>
    <row r="8" spans="1:7" ht="20.100000000000001" customHeight="1" x14ac:dyDescent="0.25">
      <c r="A8" s="140" t="s">
        <v>140</v>
      </c>
      <c r="B8" s="141">
        <v>20.49</v>
      </c>
      <c r="C8" s="141">
        <v>20.49</v>
      </c>
      <c r="D8" s="141">
        <f>C8*D10+C8</f>
        <v>21.596459999999997</v>
      </c>
      <c r="E8" s="141">
        <f t="shared" si="0"/>
        <v>21.412049999999997</v>
      </c>
      <c r="F8" s="141">
        <v>21.6</v>
      </c>
      <c r="G8" s="142">
        <f>F8*G10+F8</f>
        <v>22.464000000000002</v>
      </c>
    </row>
    <row r="9" spans="1:7" ht="20.100000000000001" customHeight="1" thickBot="1" x14ac:dyDescent="0.3">
      <c r="A9" s="143" t="s">
        <v>141</v>
      </c>
      <c r="B9" s="144">
        <v>20.8</v>
      </c>
      <c r="C9" s="144">
        <v>20.8</v>
      </c>
      <c r="D9" s="144">
        <f>C9*D11+C9</f>
        <v>22.048000000000002</v>
      </c>
      <c r="E9" s="144">
        <f t="shared" si="0"/>
        <v>21.840000000000003</v>
      </c>
      <c r="F9" s="144">
        <v>22.05</v>
      </c>
      <c r="G9" s="145">
        <f>F9*G10+F9</f>
        <v>22.932000000000002</v>
      </c>
    </row>
    <row r="10" spans="1:7" ht="20.100000000000001" customHeight="1" thickBot="1" x14ac:dyDescent="0.3">
      <c r="A10" s="1"/>
      <c r="B10" s="2"/>
      <c r="C10" s="146"/>
      <c r="D10" s="147">
        <v>5.3999999999999999E-2</v>
      </c>
      <c r="E10" s="148"/>
      <c r="F10" s="149"/>
      <c r="G10" s="150">
        <v>0.04</v>
      </c>
    </row>
    <row r="11" spans="1:7" ht="20.100000000000001" customHeight="1" thickBot="1" x14ac:dyDescent="0.3">
      <c r="A11" s="1"/>
      <c r="B11" s="2"/>
      <c r="C11" s="146"/>
      <c r="D11" s="147">
        <v>0.06</v>
      </c>
      <c r="E11" s="148"/>
      <c r="F11" s="149"/>
      <c r="G11" s="149"/>
    </row>
    <row r="12" spans="1:7" ht="20.100000000000001" customHeight="1" x14ac:dyDescent="0.25">
      <c r="A12" s="137" t="s">
        <v>142</v>
      </c>
      <c r="B12" s="98">
        <v>2022</v>
      </c>
      <c r="C12" s="98" t="s">
        <v>133</v>
      </c>
      <c r="D12" s="98" t="s">
        <v>134</v>
      </c>
      <c r="E12" s="138" t="s">
        <v>115</v>
      </c>
      <c r="F12" s="139" t="s">
        <v>135</v>
      </c>
      <c r="G12" s="96">
        <v>2024</v>
      </c>
    </row>
    <row r="13" spans="1:7" ht="20.100000000000001" customHeight="1" x14ac:dyDescent="0.25">
      <c r="A13" s="140" t="s">
        <v>136</v>
      </c>
      <c r="B13" s="141">
        <v>14.93</v>
      </c>
      <c r="C13" s="141">
        <v>14.93</v>
      </c>
      <c r="D13" s="141">
        <f>C13*D10+C13</f>
        <v>15.736219999999999</v>
      </c>
      <c r="E13" s="141">
        <f t="shared" ref="E13:E18" si="1">((C13*2)+(D13*10))/12</f>
        <v>15.601849999999999</v>
      </c>
      <c r="F13" s="141">
        <v>15.74</v>
      </c>
      <c r="G13" s="142">
        <f>F13*G10+F13</f>
        <v>16.369600000000002</v>
      </c>
    </row>
    <row r="14" spans="1:7" ht="20.100000000000001" customHeight="1" x14ac:dyDescent="0.25">
      <c r="A14" s="140" t="s">
        <v>137</v>
      </c>
      <c r="B14" s="141">
        <v>17.46</v>
      </c>
      <c r="C14" s="141">
        <v>17.46</v>
      </c>
      <c r="D14" s="141">
        <f>C14*D10+C14</f>
        <v>18.402840000000001</v>
      </c>
      <c r="E14" s="141">
        <f t="shared" si="1"/>
        <v>18.245699999999999</v>
      </c>
      <c r="F14" s="141">
        <v>18.399999999999999</v>
      </c>
      <c r="G14" s="142">
        <f>F14*G10+F14</f>
        <v>19.135999999999999</v>
      </c>
    </row>
    <row r="15" spans="1:7" ht="20.100000000000001" customHeight="1" x14ac:dyDescent="0.25">
      <c r="A15" s="140" t="s">
        <v>138</v>
      </c>
      <c r="B15" s="141">
        <v>19.41</v>
      </c>
      <c r="C15" s="141">
        <v>19.41</v>
      </c>
      <c r="D15" s="141">
        <f>C15*D10+C15</f>
        <v>20.45814</v>
      </c>
      <c r="E15" s="141">
        <f t="shared" si="1"/>
        <v>20.283449999999998</v>
      </c>
      <c r="F15" s="141">
        <v>20.46</v>
      </c>
      <c r="G15" s="142">
        <f>F15*G10+F15</f>
        <v>21.278400000000001</v>
      </c>
    </row>
    <row r="16" spans="1:7" ht="20.100000000000001" customHeight="1" x14ac:dyDescent="0.25">
      <c r="A16" s="140" t="s">
        <v>139</v>
      </c>
      <c r="B16" s="141">
        <v>20.34</v>
      </c>
      <c r="C16" s="141">
        <v>20.34</v>
      </c>
      <c r="D16" s="141">
        <f>C16*D10+C16</f>
        <v>21.438359999999999</v>
      </c>
      <c r="E16" s="141">
        <f t="shared" si="1"/>
        <v>21.255300000000002</v>
      </c>
      <c r="F16" s="141">
        <v>21.44</v>
      </c>
      <c r="G16" s="142">
        <f>F16*G10+F16</f>
        <v>22.297600000000003</v>
      </c>
    </row>
    <row r="17" spans="1:7" ht="20.100000000000001" customHeight="1" x14ac:dyDescent="0.25">
      <c r="A17" s="140" t="s">
        <v>140</v>
      </c>
      <c r="B17" s="141">
        <v>20.9</v>
      </c>
      <c r="C17" s="141">
        <v>20.9</v>
      </c>
      <c r="D17" s="141">
        <f>C17*D10+C17</f>
        <v>22.028599999999997</v>
      </c>
      <c r="E17" s="141">
        <f t="shared" si="1"/>
        <v>21.840499999999995</v>
      </c>
      <c r="F17" s="141">
        <v>22.03</v>
      </c>
      <c r="G17" s="142">
        <f>F17*G10+F17</f>
        <v>22.911200000000001</v>
      </c>
    </row>
    <row r="18" spans="1:7" ht="20.100000000000001" customHeight="1" thickBot="1" x14ac:dyDescent="0.3">
      <c r="A18" s="143" t="s">
        <v>141</v>
      </c>
      <c r="B18" s="144">
        <v>21.18</v>
      </c>
      <c r="C18" s="144">
        <v>21.18</v>
      </c>
      <c r="D18" s="144">
        <f>C18*D11+C18</f>
        <v>22.450800000000001</v>
      </c>
      <c r="E18" s="144">
        <f t="shared" si="1"/>
        <v>22.239000000000001</v>
      </c>
      <c r="F18" s="144">
        <v>22.45</v>
      </c>
      <c r="G18" s="145">
        <f>F18*G10+F18</f>
        <v>23.347999999999999</v>
      </c>
    </row>
  </sheetData>
  <sheetProtection algorithmName="SHA-512" hashValue="7Nw7o4AZaqT9wZLICLtYl6+Lltxi2+bOPq4Hu8x9h/RoM7+Eikqqjosyi4F+5PHdfKnES/m3mV8Zn4WME7Zt6g==" saltValue="ZHfMm4NsSgD0DJ7+OL770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Grundlagen der Berechnung</vt:lpstr>
      <vt:lpstr>Lohnkosten bis 28.2.</vt:lpstr>
      <vt:lpstr>Lohnkosten ab 1.3.</vt:lpstr>
      <vt:lpstr>Lohnkosten Ø </vt:lpstr>
      <vt:lpstr>Bruttolöhne</vt:lpstr>
      <vt:lpstr>Studenlöhne 2023 - 2024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2022-12-23T08:21:33Z</cp:lastPrinted>
  <dcterms:created xsi:type="dcterms:W3CDTF">2014-12-26T07:26:26Z</dcterms:created>
  <dcterms:modified xsi:type="dcterms:W3CDTF">2023-03-10T15:19:38Z</dcterms:modified>
</cp:coreProperties>
</file>